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Historicals" sheetId="3" state="visible" r:id="rId5"/>
    <sheet name="DCF" sheetId="4" state="visible" r:id="rId6"/>
    <sheet name="WACC" sheetId="5" state="visible" r:id="rId7"/>
    <sheet name="Sensitivity" sheetId="6" state="visible" r:id="rId8"/>
    <sheet name="Sources" sheetId="7" state="visible" r:id="rId9"/>
    <sheet name="Notes" sheetId="8" state="visible" r:id="rId10"/>
  </sheets>
  <definedNames>
    <definedName function="false" hidden="true" localSheetId="6" name="_xlnm._FilterDatabase" vbProcedure="false">Sources!$A$4:$H$134</definedName>
    <definedName function="false" hidden="false" name="CashAndSecurities" vbProcedure="false">Historicals!$B$48</definedName>
    <definedName function="false" hidden="false" name="EquityRiskPremium" vbProcedure="false">Assumptions!$B$19</definedName>
    <definedName function="false" hidden="false" name="ExitMultiple" vbProcedure="false">Assumptions!$B$16</definedName>
    <definedName function="false" hidden="false" name="LastFYE" vbProcedure="false">Assumptions!$B$7</definedName>
    <definedName function="false" hidden="false" name="LeveredBeta" vbProcedure="false">Assumptions!$B$20</definedName>
    <definedName function="false" hidden="false" name="MidYear" vbProcedure="false">Assumptions!$B$9</definedName>
    <definedName function="false" hidden="false" name="NonControlling" vbProcedure="false">Historicals!$B$49</definedName>
    <definedName function="false" hidden="false" name="PreTaxCostOfDebt" vbProcedure="false">Assumptions!$B$21</definedName>
    <definedName function="false" hidden="false" name="RiskFreeRate" vbProcedure="false">Assumptions!$B$18</definedName>
    <definedName function="false" hidden="false" name="SharePrice" vbProcedure="false">Assumptions!$B$10</definedName>
    <definedName function="false" hidden="false" name="SharesOut" vbProcedure="false">Assumptions!$B$11</definedName>
    <definedName function="false" hidden="false" name="StubYears" vbProcedure="false">Assumptions!$B$8</definedName>
    <definedName function="false" hidden="false" name="TargetDebtWeight" vbProcedure="false">Assumptions!$B$22</definedName>
    <definedName function="false" hidden="false" name="TaxRate" vbProcedure="false">Assumptions!$B$13</definedName>
    <definedName function="false" hidden="false" name="TerminalGrowth" vbProcedure="false">Assumptions!$B$15</definedName>
    <definedName function="false" hidden="false" name="TotalDebt" vbProcedure="false">Historicals!$B$47</definedName>
    <definedName function="false" hidden="false" name="TVPeriod" vbProcedure="false">DCF!$B$32</definedName>
    <definedName function="false" hidden="false" name="ValuationDate" vbProcedure="false">Assumptions!$B$6</definedName>
    <definedName function="false" hidden="false" name="WACC" vbProcedure="false">WACC!$B$22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XBRL tag: Revenues
10-K filed 2023-02-02
Accession 0001125376-23-000018</t>
        </r>
      </text>
    </comment>
    <comment ref="B8" authorId="0">
      <text>
        <r>
          <rPr>
            <sz val="10"/>
            <rFont val="Arial"/>
            <family val="2"/>
          </rPr>
          <t xml:space="preserve">XBRL tag: CostOfGoodsAndServicesSold
10-K filed 2024-02-01
Accession 0001125376-24-000018</t>
        </r>
      </text>
    </comment>
    <comment ref="B9" authorId="0">
      <text>
        <r>
          <rPr>
            <sz val="10"/>
            <rFont val="Arial"/>
            <family val="2"/>
          </rPr>
          <t xml:space="preserve">Derived, not tagged in the filing: revenue - cost of revenue.</t>
        </r>
      </text>
    </comment>
    <comment ref="B11" authorId="0">
      <text>
        <r>
          <rPr>
            <sz val="10"/>
            <rFont val="Arial"/>
            <family val="2"/>
          </rPr>
          <t xml:space="preserve">XBRL tag: GeneralAndAdministrativeExpense
10-K filed 2024-02-01
Accession 0001125376-24-000018</t>
        </r>
      </text>
    </comment>
    <comment ref="B12" authorId="0">
      <text>
        <r>
          <rPr>
            <sz val="10"/>
            <rFont val="Arial"/>
            <family val="2"/>
          </rPr>
          <t xml:space="preserve">XBRL tag: OperatingIncomeLoss
10-K filed 2024-02-01
Accession 0001125376-24-000018</t>
        </r>
      </text>
    </comment>
    <comment ref="B13" authorId="0">
      <text>
        <r>
          <rPr>
            <sz val="10"/>
            <rFont val="Arial"/>
            <family val="2"/>
          </rPr>
          <t xml:space="preserve">XBRL tag: InterestExpense
10-K filed 2024-02-01
Accession 0001125376-24-000018</t>
        </r>
      </text>
    </comment>
    <comment ref="B14" authorId="0">
      <text>
        <r>
          <rPr>
            <sz val="10"/>
            <rFont val="Arial"/>
            <family val="2"/>
          </rPr>
          <t xml:space="preserve">XBRL tag: IncomeLossFromContinuingOperationsBeforeIncomeTaxesExtraordinaryItemsNoncontrollingInterest
10-K filed 2024-02-01
Accession 0001125376-24-000018</t>
        </r>
      </text>
    </comment>
    <comment ref="B15" authorId="0">
      <text>
        <r>
          <rPr>
            <sz val="10"/>
            <rFont val="Arial"/>
            <family val="2"/>
          </rPr>
          <t xml:space="preserve">XBRL tag: IncomeTaxExpenseBenefit
10-K filed 2024-02-01
Accession 0001125376-24-000018</t>
        </r>
      </text>
    </comment>
    <comment ref="B16" authorId="0">
      <text>
        <r>
          <rPr>
            <sz val="10"/>
            <rFont val="Arial"/>
            <family val="2"/>
          </rPr>
          <t xml:space="preserve">XBRL tag: NetIncomeLoss
10-K filed 2024-02-01
Accession 0001125376-24-000018</t>
        </r>
      </text>
    </comment>
    <comment ref="B17" authorId="0">
      <text>
        <r>
          <rPr>
            <sz val="10"/>
            <rFont val="Arial"/>
            <family val="2"/>
          </rPr>
          <t xml:space="preserve">XBRL tag: EarningsPerShareDiluted
10-K filed 2024-02-01
Accession 0001125376-24-000018</t>
        </r>
      </text>
    </comment>
    <comment ref="B18" authorId="0">
      <text>
        <r>
          <rPr>
            <sz val="10"/>
            <rFont val="Arial"/>
            <family val="2"/>
          </rPr>
          <t xml:space="preserve">XBRL tag: WeightedAverageNumberOfDilutedSharesOutstanding
10-K filed 2024-02-01
Accession 0001125376-24-000018</t>
        </r>
      </text>
    </comment>
    <comment ref="B20" authorId="0">
      <text>
        <r>
          <rPr>
            <sz val="10"/>
            <rFont val="Arial"/>
            <family val="2"/>
          </rPr>
          <t xml:space="preserve">XBRL tag: NetCashProvidedByUsedInOperatingActivities
10-K filed 2024-02-01
Accession 0001125376-24-000018</t>
        </r>
      </text>
    </comment>
    <comment ref="B21" authorId="0">
      <text>
        <r>
          <rPr>
            <sz val="10"/>
            <rFont val="Arial"/>
            <family val="2"/>
          </rPr>
          <t xml:space="preserve">XBRL tag: DepreciationDepletionAndAmortization
10-K filed 2024-02-01
Accession 0001125376-24-000018</t>
        </r>
      </text>
    </comment>
    <comment ref="B23" authorId="0">
      <text>
        <r>
          <rPr>
            <sz val="10"/>
            <rFont val="Arial"/>
            <family val="2"/>
          </rPr>
          <t xml:space="preserve">XBRL tag: ShareBasedCompensation
10-K filed 2024-02-01
Accession 0001125376-24-000018</t>
        </r>
      </text>
    </comment>
    <comment ref="B24" authorId="0">
      <text>
        <r>
          <rPr>
            <sz val="10"/>
            <rFont val="Arial"/>
            <family val="2"/>
          </rPr>
          <t xml:space="preserve">XBRL tag: PaymentsOfDividends
10-K filed 2024-02-01
Accession 0001125376-24-000018</t>
        </r>
      </text>
    </comment>
    <comment ref="B25" authorId="0">
      <text>
        <r>
          <rPr>
            <sz val="10"/>
            <rFont val="Arial"/>
            <family val="2"/>
          </rPr>
          <t xml:space="preserve">XBRL tag: PaymentsForRepurchaseOfCommonStock
10-K filed 2024-02-01
Accession 0001125376-24-000018</t>
        </r>
      </text>
    </comment>
    <comment ref="B27" authorId="0">
      <text>
        <r>
          <rPr>
            <sz val="10"/>
            <rFont val="Arial"/>
            <family val="2"/>
          </rPr>
          <t xml:space="preserve">XBRL tag: CashAndCashEquivalentsAtCarryingValue
10-K filed 2023-02-02
Accession 0001125376-23-000018</t>
        </r>
      </text>
    </comment>
    <comment ref="B28" authorId="0">
      <text>
        <r>
          <rPr>
            <sz val="10"/>
            <rFont val="Arial"/>
            <family val="2"/>
          </rPr>
          <t xml:space="preserve">XBRL tag: ShortTermInvestments
10-K filed 2023-02-02
Accession 0001125376-23-000018</t>
        </r>
      </text>
    </comment>
    <comment ref="B29" authorId="0">
      <text>
        <r>
          <rPr>
            <sz val="10"/>
            <rFont val="Arial"/>
            <family val="2"/>
          </rPr>
          <t xml:space="preserve">XBRL tag: AssetsCurrent
10-K filed 2023-02-02
Accession 0001125376-23-000018</t>
        </r>
      </text>
    </comment>
    <comment ref="B30" authorId="0">
      <text>
        <r>
          <rPr>
            <sz val="10"/>
            <rFont val="Arial"/>
            <family val="2"/>
          </rPr>
          <t xml:space="preserve">XBRL tag: LiabilitiesCurrent
10-K filed 2023-02-02
Accession 0001125376-23-000018</t>
        </r>
      </text>
    </comment>
    <comment ref="B31" authorId="0">
      <text>
        <r>
          <rPr>
            <sz val="10"/>
            <rFont val="Arial"/>
            <family val="2"/>
          </rPr>
          <t xml:space="preserve">XBRL tag: LongTermDebtCurrent
10-K filed 2023-02-02
Accession 0001125376-23-000018</t>
        </r>
      </text>
    </comment>
    <comment ref="B32" authorId="0">
      <text>
        <r>
          <rPr>
            <sz val="10"/>
            <rFont val="Arial"/>
            <family val="2"/>
          </rPr>
          <t xml:space="preserve">XBRL tag: LongTermDebtNoncurrent
10-K filed 2023-02-02
Accession 0001125376-23-000018</t>
        </r>
      </text>
    </comment>
    <comment ref="B34" authorId="0">
      <text>
        <r>
          <rPr>
            <sz val="10"/>
            <rFont val="Arial"/>
            <family val="2"/>
          </rPr>
          <t xml:space="preserve">XBRL tag: Assets
10-K filed 2023-02-02
Accession 0001125376-23-000018</t>
        </r>
      </text>
    </comment>
    <comment ref="B35" authorId="0">
      <text>
        <r>
          <rPr>
            <sz val="10"/>
            <rFont val="Arial"/>
            <family val="2"/>
          </rPr>
          <t xml:space="preserve">XBRL tag: Liabilities
10-K filed 2023-02-02
Accession 0001125376-23-000018</t>
        </r>
      </text>
    </comment>
    <comment ref="B36" authorId="0">
      <text>
        <r>
          <rPr>
            <sz val="10"/>
            <rFont val="Arial"/>
            <family val="2"/>
          </rPr>
          <t xml:space="preserve">XBRL tag: StockholdersEquity
10-K filed 2023-02-02
Accession 0001125376-23-000018</t>
        </r>
      </text>
    </comment>
    <comment ref="B37" authorId="0">
      <text>
        <r>
          <rPr>
            <sz val="10"/>
            <rFont val="Arial"/>
            <family val="2"/>
          </rPr>
          <t xml:space="preserve">XBRL tag: MinorityInterest
10-K filed 2023-02-02
Accession 0001125376-23-000018</t>
        </r>
      </text>
    </comment>
    <comment ref="B38" authorId="0">
      <text>
        <r>
          <rPr>
            <sz val="10"/>
            <rFont val="Arial"/>
            <family val="2"/>
          </rPr>
          <t xml:space="preserve">(Current assets - cash - short-term investments) - (current liabilities - short-term debt)</t>
        </r>
      </text>
    </comment>
    <comment ref="B42" authorId="0">
      <text>
        <r>
          <rPr>
            <sz val="10"/>
            <rFont val="Arial"/>
            <family val="2"/>
          </rPr>
          <t xml:space="preserve">XBRL tag: CashAndCashEquivalentsAtCarryingValue
10-Q filed 2026-07-27
Accession 0001125376-26-000034</t>
        </r>
      </text>
    </comment>
    <comment ref="B43" authorId="0">
      <text>
        <r>
          <rPr>
            <sz val="10"/>
            <rFont val="Arial"/>
            <family val="2"/>
          </rPr>
          <t xml:space="preserve">XBRL tag: ShortTermInvestments
10-Q filed 2026-07-27
Accession 0001125376-26-000034</t>
        </r>
      </text>
    </comment>
    <comment ref="B45" authorId="0">
      <text>
        <r>
          <rPr>
            <sz val="10"/>
            <rFont val="Arial"/>
            <family val="2"/>
          </rPr>
          <t xml:space="preserve">XBRL tag: LongTermDebtCurrent
10-Q filed 2026-07-27
Accession 0001125376-26-000034</t>
        </r>
      </text>
    </comment>
    <comment ref="B46" authorId="0">
      <text>
        <r>
          <rPr>
            <sz val="10"/>
            <rFont val="Arial"/>
            <family val="2"/>
          </rPr>
          <t xml:space="preserve">XBRL tag: LongTermDebtNoncurrent
10-Q filed 2026-07-27
Accession 0001125376-26-000034</t>
        </r>
      </text>
    </comment>
    <comment ref="B49" authorId="0">
      <text>
        <r>
          <rPr>
            <sz val="10"/>
            <rFont val="Arial"/>
            <family val="2"/>
          </rPr>
          <t xml:space="preserve">XBRL tag: MinorityInterest
10-Q filed 2026-07-27
Accession 0001125376-26-000034</t>
        </r>
      </text>
    </comment>
    <comment ref="B50" authorId="0">
      <text>
        <r>
          <rPr>
            <sz val="10"/>
            <rFont val="Arial"/>
            <family val="2"/>
          </rPr>
          <t xml:space="preserve">dei:EntityCommonStockSharesOutstanding
As of 2026-07-23, 10-Q
Accession 0001125376-26-000034</t>
        </r>
      </text>
    </comment>
    <comment ref="C7" authorId="0">
      <text>
        <r>
          <rPr>
            <sz val="10"/>
            <rFont val="Arial"/>
            <family val="2"/>
          </rPr>
          <t xml:space="preserve">XBRL tag: Revenues
10-K filed 2023-02-02
Accession 0001125376-23-000018</t>
        </r>
      </text>
    </comment>
    <comment ref="C8" authorId="0">
      <text>
        <r>
          <rPr>
            <sz val="10"/>
            <rFont val="Arial"/>
            <family val="2"/>
          </rPr>
          <t xml:space="preserve">XBRL tag: CostOfGoodsAndServicesSold
10-K filed 2025-02-05
Accession 0001125376-25-000021</t>
        </r>
      </text>
    </comment>
    <comment ref="C9" authorId="0">
      <text>
        <r>
          <rPr>
            <sz val="10"/>
            <rFont val="Arial"/>
            <family val="2"/>
          </rPr>
          <t xml:space="preserve">Derived, not tagged in the filing: revenue - cost of revenue.</t>
        </r>
      </text>
    </comment>
    <comment ref="C11" authorId="0">
      <text>
        <r>
          <rPr>
            <sz val="10"/>
            <rFont val="Arial"/>
            <family val="2"/>
          </rPr>
          <t xml:space="preserve">XBRL tag: GeneralAndAdministrativeExpense
10-K filed 2025-02-05
Accession 0001125376-25-000021</t>
        </r>
      </text>
    </comment>
    <comment ref="C12" authorId="0">
      <text>
        <r>
          <rPr>
            <sz val="10"/>
            <rFont val="Arial"/>
            <family val="2"/>
          </rPr>
          <t xml:space="preserve">XBRL tag: OperatingIncomeLoss
10-K filed 2025-02-05
Accession 0001125376-25-000021</t>
        </r>
      </text>
    </comment>
    <comment ref="C13" authorId="0">
      <text>
        <r>
          <rPr>
            <sz val="10"/>
            <rFont val="Arial"/>
            <family val="2"/>
          </rPr>
          <t xml:space="preserve">XBRL tag: InterestExpense
10-K filed 2024-02-01
Accession 0001125376-24-000018</t>
        </r>
      </text>
    </comment>
    <comment ref="C14" authorId="0">
      <text>
        <r>
          <rPr>
            <sz val="10"/>
            <rFont val="Arial"/>
            <family val="2"/>
          </rPr>
          <t xml:space="preserve">XBRL tag: IncomeLossFromContinuingOperationsBeforeIncomeTaxesExtraordinaryItemsNoncontrollingInterest
10-K filed 2025-02-05
Accession 0001125376-25-000021</t>
        </r>
      </text>
    </comment>
    <comment ref="C15" authorId="0">
      <text>
        <r>
          <rPr>
            <sz val="10"/>
            <rFont val="Arial"/>
            <family val="2"/>
          </rPr>
          <t xml:space="preserve">XBRL tag: IncomeTaxExpenseBenefit
10-K filed 2025-02-05
Accession 0001125376-25-000021</t>
        </r>
      </text>
    </comment>
    <comment ref="C16" authorId="0">
      <text>
        <r>
          <rPr>
            <sz val="10"/>
            <rFont val="Arial"/>
            <family val="2"/>
          </rPr>
          <t xml:space="preserve">XBRL tag: NetIncomeLoss
10-K filed 2025-02-05
Accession 0001125376-25-000021</t>
        </r>
      </text>
    </comment>
    <comment ref="C17" authorId="0">
      <text>
        <r>
          <rPr>
            <sz val="10"/>
            <rFont val="Arial"/>
            <family val="2"/>
          </rPr>
          <t xml:space="preserve">XBRL tag: EarningsPerShareDiluted
10-K filed 2025-02-05
Accession 0001125376-25-000021</t>
        </r>
      </text>
    </comment>
    <comment ref="C18" authorId="0">
      <text>
        <r>
          <rPr>
            <sz val="10"/>
            <rFont val="Arial"/>
            <family val="2"/>
          </rPr>
          <t xml:space="preserve">XBRL tag: WeightedAverageNumberOfDilutedSharesOutstanding
10-K filed 2025-02-05
Accession 0001125376-25-000021</t>
        </r>
      </text>
    </comment>
    <comment ref="C20" authorId="0">
      <text>
        <r>
          <rPr>
            <sz val="10"/>
            <rFont val="Arial"/>
            <family val="2"/>
          </rPr>
          <t xml:space="preserve">XBRL tag: NetCashProvidedByUsedInOperatingActivities
10-K filed 2025-02-05
Accession 0001125376-25-000021</t>
        </r>
      </text>
    </comment>
    <comment ref="C21" authorId="0">
      <text>
        <r>
          <rPr>
            <sz val="10"/>
            <rFont val="Arial"/>
            <family val="2"/>
          </rPr>
          <t xml:space="preserve">XBRL tag: DepreciationDepletionAndAmortization
10-K filed 2025-02-05
Accession 0001125376-25-000021</t>
        </r>
      </text>
    </comment>
    <comment ref="C23" authorId="0">
      <text>
        <r>
          <rPr>
            <sz val="10"/>
            <rFont val="Arial"/>
            <family val="2"/>
          </rPr>
          <t xml:space="preserve">XBRL tag: ShareBasedCompensation
10-K filed 2025-02-05
Accession 0001125376-25-000021</t>
        </r>
      </text>
    </comment>
    <comment ref="C24" authorId="0">
      <text>
        <r>
          <rPr>
            <sz val="10"/>
            <rFont val="Arial"/>
            <family val="2"/>
          </rPr>
          <t xml:space="preserve">XBRL tag: PaymentsOfDividends
10-K filed 2025-02-05
Accession 0001125376-25-000021</t>
        </r>
      </text>
    </comment>
    <comment ref="C25" authorId="0">
      <text>
        <r>
          <rPr>
            <sz val="10"/>
            <rFont val="Arial"/>
            <family val="2"/>
          </rPr>
          <t xml:space="preserve">XBRL tag: PaymentsForRepurchaseOfCommonStock
10-K filed 2025-02-05
Accession 0001125376-25-000021</t>
        </r>
      </text>
    </comment>
    <comment ref="C27" authorId="0">
      <text>
        <r>
          <rPr>
            <sz val="10"/>
            <rFont val="Arial"/>
            <family val="2"/>
          </rPr>
          <t xml:space="preserve">XBRL tag: CashAndCashEquivalentsAtCarryingValue
10-K filed 2024-02-01
Accession 0001125376-24-000018</t>
        </r>
      </text>
    </comment>
    <comment ref="C28" authorId="0">
      <text>
        <r>
          <rPr>
            <sz val="10"/>
            <rFont val="Arial"/>
            <family val="2"/>
          </rPr>
          <t xml:space="preserve">XBRL tag: ShortTermInvestments
10-K filed 2024-02-01
Accession 0001125376-24-000018</t>
        </r>
      </text>
    </comment>
    <comment ref="C29" authorId="0">
      <text>
        <r>
          <rPr>
            <sz val="10"/>
            <rFont val="Arial"/>
            <family val="2"/>
          </rPr>
          <t xml:space="preserve">XBRL tag: AssetsCurrent
10-K filed 2024-02-01
Accession 0001125376-24-000018</t>
        </r>
      </text>
    </comment>
    <comment ref="C30" authorId="0">
      <text>
        <r>
          <rPr>
            <sz val="10"/>
            <rFont val="Arial"/>
            <family val="2"/>
          </rPr>
          <t xml:space="preserve">XBRL tag: LiabilitiesCurrent
10-K filed 2024-02-01
Accession 0001125376-24-000018</t>
        </r>
      </text>
    </comment>
    <comment ref="C31" authorId="0">
      <text>
        <r>
          <rPr>
            <sz val="10"/>
            <rFont val="Arial"/>
            <family val="2"/>
          </rPr>
          <t xml:space="preserve">XBRL tag: LongTermDebtCurrent
10-K filed 2024-02-01
Accession 0001125376-24-000018</t>
        </r>
      </text>
    </comment>
    <comment ref="C32" authorId="0">
      <text>
        <r>
          <rPr>
            <sz val="10"/>
            <rFont val="Arial"/>
            <family val="2"/>
          </rPr>
          <t xml:space="preserve">XBRL tag: LongTermDebtNoncurrent
10-K filed 2024-02-01
Accession 0001125376-24-000018</t>
        </r>
      </text>
    </comment>
    <comment ref="C34" authorId="0">
      <text>
        <r>
          <rPr>
            <sz val="10"/>
            <rFont val="Arial"/>
            <family val="2"/>
          </rPr>
          <t xml:space="preserve">XBRL tag: Assets
10-K filed 2024-02-01
Accession 0001125376-24-000018</t>
        </r>
      </text>
    </comment>
    <comment ref="C35" authorId="0">
      <text>
        <r>
          <rPr>
            <sz val="10"/>
            <rFont val="Arial"/>
            <family val="2"/>
          </rPr>
          <t xml:space="preserve">XBRL tag: Liabilities
10-K filed 2024-02-01
Accession 0001125376-24-000018</t>
        </r>
      </text>
    </comment>
    <comment ref="C36" authorId="0">
      <text>
        <r>
          <rPr>
            <sz val="10"/>
            <rFont val="Arial"/>
            <family val="2"/>
          </rPr>
          <t xml:space="preserve">XBRL tag: StockholdersEquity
10-K filed 2024-02-01
Accession 0001125376-24-000018</t>
        </r>
      </text>
    </comment>
    <comment ref="C37" authorId="0">
      <text>
        <r>
          <rPr>
            <sz val="10"/>
            <rFont val="Arial"/>
            <family val="2"/>
          </rPr>
          <t xml:space="preserve">XBRL tag: MinorityInterest
10-K filed 2024-02-01
Accession 0001125376-24-000018</t>
        </r>
      </text>
    </comment>
    <comment ref="C38" authorId="0">
      <text>
        <r>
          <rPr>
            <sz val="10"/>
            <rFont val="Arial"/>
            <family val="2"/>
          </rPr>
          <t xml:space="preserve">(Current assets - cash - short-term investments) - (current liabilities - short-term debt)</t>
        </r>
      </text>
    </comment>
    <comment ref="D7" authorId="0">
      <text>
        <r>
          <rPr>
            <sz val="10"/>
            <rFont val="Arial"/>
            <family val="2"/>
          </rPr>
          <t xml:space="preserve">XBRL tag: Revenues
10-K filed 2026-02-04
Accession 0001125376-26-000007</t>
        </r>
      </text>
    </comment>
    <comment ref="D8" authorId="0">
      <text>
        <r>
          <rPr>
            <sz val="10"/>
            <rFont val="Arial"/>
            <family val="2"/>
          </rPr>
          <t xml:space="preserve">XBRL tag: CostOfGoodsAndServicesSold
10-K filed 2026-02-04
Accession 0001125376-26-000007</t>
        </r>
      </text>
    </comment>
    <comment ref="D9" authorId="0">
      <text>
        <r>
          <rPr>
            <sz val="10"/>
            <rFont val="Arial"/>
            <family val="2"/>
          </rPr>
          <t xml:space="preserve">Derived, not tagged in the filing: revenue - cost of revenue.</t>
        </r>
      </text>
    </comment>
    <comment ref="D11" authorId="0">
      <text>
        <r>
          <rPr>
            <sz val="10"/>
            <rFont val="Arial"/>
            <family val="2"/>
          </rPr>
          <t xml:space="preserve">XBRL tag: GeneralAndAdministrativeExpense
10-K filed 2026-02-04
Accession 0001125376-26-000007</t>
        </r>
      </text>
    </comment>
    <comment ref="D12" authorId="0">
      <text>
        <r>
          <rPr>
            <sz val="10"/>
            <rFont val="Arial"/>
            <family val="2"/>
          </rPr>
          <t xml:space="preserve">XBRL tag: OperatingIncomeLoss
10-K filed 2026-02-04
Accession 0001125376-26-000007</t>
        </r>
      </text>
    </comment>
    <comment ref="D13" authorId="0">
      <text>
        <r>
          <rPr>
            <sz val="10"/>
            <rFont val="Arial"/>
            <family val="2"/>
          </rPr>
          <t xml:space="preserve">XBRL tag: InterestExpense
10-K filed 2024-02-01
Accession 0001125376-24-000018</t>
        </r>
      </text>
    </comment>
    <comment ref="D14" authorId="0">
      <text>
        <r>
          <rPr>
            <sz val="10"/>
            <rFont val="Arial"/>
            <family val="2"/>
          </rPr>
          <t xml:space="preserve">XBRL tag: IncomeLossFromContinuingOperationsBeforeIncomeTaxesExtraordinaryItemsNoncontrollingInterest
10-K filed 2026-02-04
Accession 0001125376-26-000007</t>
        </r>
      </text>
    </comment>
    <comment ref="D15" authorId="0">
      <text>
        <r>
          <rPr>
            <sz val="10"/>
            <rFont val="Arial"/>
            <family val="2"/>
          </rPr>
          <t xml:space="preserve">XBRL tag: IncomeTaxExpenseBenefit
10-K filed 2026-02-04
Accession 0001125376-26-000007</t>
        </r>
      </text>
    </comment>
    <comment ref="D16" authorId="0">
      <text>
        <r>
          <rPr>
            <sz val="10"/>
            <rFont val="Arial"/>
            <family val="2"/>
          </rPr>
          <t xml:space="preserve">XBRL tag: NetIncomeLoss
10-K filed 2026-02-04
Accession 0001125376-26-000007</t>
        </r>
      </text>
    </comment>
    <comment ref="D17" authorId="0">
      <text>
        <r>
          <rPr>
            <sz val="10"/>
            <rFont val="Arial"/>
            <family val="2"/>
          </rPr>
          <t xml:space="preserve">XBRL tag: EarningsPerShareDiluted
10-K filed 2026-02-04
Accession 0001125376-26-000007</t>
        </r>
      </text>
    </comment>
    <comment ref="D18" authorId="0">
      <text>
        <r>
          <rPr>
            <sz val="10"/>
            <rFont val="Arial"/>
            <family val="2"/>
          </rPr>
          <t xml:space="preserve">XBRL tag: WeightedAverageNumberOfDilutedSharesOutstanding
10-K filed 2026-02-04
Accession 0001125376-26-000007</t>
        </r>
      </text>
    </comment>
    <comment ref="D20" authorId="0">
      <text>
        <r>
          <rPr>
            <sz val="10"/>
            <rFont val="Arial"/>
            <family val="2"/>
          </rPr>
          <t xml:space="preserve">XBRL tag: NetCashProvidedByUsedInOperatingActivities
10-K filed 2026-02-04
Accession 0001125376-26-000007</t>
        </r>
      </text>
    </comment>
    <comment ref="D21" authorId="0">
      <text>
        <r>
          <rPr>
            <sz val="10"/>
            <rFont val="Arial"/>
            <family val="2"/>
          </rPr>
          <t xml:space="preserve">XBRL tag: DepreciationDepletionAndAmortization
10-K filed 2026-02-04
Accession 0001125376-26-000007</t>
        </r>
      </text>
    </comment>
    <comment ref="D23" authorId="0">
      <text>
        <r>
          <rPr>
            <sz val="10"/>
            <rFont val="Arial"/>
            <family val="2"/>
          </rPr>
          <t xml:space="preserve">XBRL tag: ShareBasedCompensation
10-K filed 2026-02-04
Accession 0001125376-26-000007</t>
        </r>
      </text>
    </comment>
    <comment ref="D24" authorId="0">
      <text>
        <r>
          <rPr>
            <sz val="10"/>
            <rFont val="Arial"/>
            <family val="2"/>
          </rPr>
          <t xml:space="preserve">XBRL tag: PaymentsOfDividends
10-K filed 2026-02-04
Accession 0001125376-26-000007</t>
        </r>
      </text>
    </comment>
    <comment ref="D25" authorId="0">
      <text>
        <r>
          <rPr>
            <sz val="10"/>
            <rFont val="Arial"/>
            <family val="2"/>
          </rPr>
          <t xml:space="preserve">XBRL tag: PaymentsForRepurchaseOfCommonStock
10-K filed 2026-02-04
Accession 0001125376-26-000007</t>
        </r>
      </text>
    </comment>
    <comment ref="D27" authorId="0">
      <text>
        <r>
          <rPr>
            <sz val="10"/>
            <rFont val="Arial"/>
            <family val="2"/>
          </rPr>
          <t xml:space="preserve">XBRL tag: CashAndCashEquivalentsAtCarryingValue
10-K filed 2025-02-05
Accession 0001125376-25-000021</t>
        </r>
      </text>
    </comment>
    <comment ref="D28" authorId="0">
      <text>
        <r>
          <rPr>
            <sz val="10"/>
            <rFont val="Arial"/>
            <family val="2"/>
          </rPr>
          <t xml:space="preserve">XBRL tag: ShortTermInvestments
10-K filed 2025-02-05
Accession 0001125376-25-000021</t>
        </r>
      </text>
    </comment>
    <comment ref="D29" authorId="0">
      <text>
        <r>
          <rPr>
            <sz val="10"/>
            <rFont val="Arial"/>
            <family val="2"/>
          </rPr>
          <t xml:space="preserve">XBRL tag: AssetsCurrent
10-K filed 2025-02-05
Accession 0001125376-25-000021</t>
        </r>
      </text>
    </comment>
    <comment ref="D30" authorId="0">
      <text>
        <r>
          <rPr>
            <sz val="10"/>
            <rFont val="Arial"/>
            <family val="2"/>
          </rPr>
          <t xml:space="preserve">XBRL tag: LiabilitiesCurrent
10-K filed 2025-02-05
Accession 0001125376-25-000021</t>
        </r>
      </text>
    </comment>
    <comment ref="D31" authorId="0">
      <text>
        <r>
          <rPr>
            <sz val="10"/>
            <rFont val="Arial"/>
            <family val="2"/>
          </rPr>
          <t xml:space="preserve">XBRL tag: LongTermDebtCurrent
10-K filed 2025-02-05
Accession 0001125376-25-000021</t>
        </r>
      </text>
    </comment>
    <comment ref="D32" authorId="0">
      <text>
        <r>
          <rPr>
            <sz val="10"/>
            <rFont val="Arial"/>
            <family val="2"/>
          </rPr>
          <t xml:space="preserve">XBRL tag: LongTermDebtNoncurrent
10-K filed 2025-02-05
Accession 0001125376-25-000021</t>
        </r>
      </text>
    </comment>
    <comment ref="D34" authorId="0">
      <text>
        <r>
          <rPr>
            <sz val="10"/>
            <rFont val="Arial"/>
            <family val="2"/>
          </rPr>
          <t xml:space="preserve">XBRL tag: Assets
10-K filed 2025-02-05
Accession 0001125376-25-000021</t>
        </r>
      </text>
    </comment>
    <comment ref="D35" authorId="0">
      <text>
        <r>
          <rPr>
            <sz val="10"/>
            <rFont val="Arial"/>
            <family val="2"/>
          </rPr>
          <t xml:space="preserve">XBRL tag: Liabilities
10-K filed 2025-02-05
Accession 0001125376-25-000021</t>
        </r>
      </text>
    </comment>
    <comment ref="D36" authorId="0">
      <text>
        <r>
          <rPr>
            <sz val="10"/>
            <rFont val="Arial"/>
            <family val="2"/>
          </rPr>
          <t xml:space="preserve">XBRL tag: StockholdersEquity
10-K filed 2025-02-05
Accession 0001125376-25-000021</t>
        </r>
      </text>
    </comment>
    <comment ref="D37" authorId="0">
      <text>
        <r>
          <rPr>
            <sz val="10"/>
            <rFont val="Arial"/>
            <family val="2"/>
          </rPr>
          <t xml:space="preserve">XBRL tag: MinorityInterest
10-K filed 2025-02-05
Accession 0001125376-25-000021</t>
        </r>
      </text>
    </comment>
    <comment ref="D38" authorId="0">
      <text>
        <r>
          <rPr>
            <sz val="10"/>
            <rFont val="Arial"/>
            <family val="2"/>
          </rPr>
          <t xml:space="preserve">(Current assets - cash - short-term investments) - (current liabilities - short-term debt)</t>
        </r>
      </text>
    </comment>
    <comment ref="E7" authorId="0">
      <text>
        <r>
          <rPr>
            <sz val="10"/>
            <rFont val="Arial"/>
            <family val="2"/>
          </rPr>
          <t xml:space="preserve">XBRL tag: Revenues
10-K filed 2026-02-04
Accession 0001125376-26-000007</t>
        </r>
      </text>
    </comment>
    <comment ref="E8" authorId="0">
      <text>
        <r>
          <rPr>
            <sz val="10"/>
            <rFont val="Arial"/>
            <family val="2"/>
          </rPr>
          <t xml:space="preserve">XBRL tag: CostOfGoodsAndServicesSold
10-K filed 2026-02-04
Accession 0001125376-26-000007</t>
        </r>
      </text>
    </comment>
    <comment ref="E9" authorId="0">
      <text>
        <r>
          <rPr>
            <sz val="10"/>
            <rFont val="Arial"/>
            <family val="2"/>
          </rPr>
          <t xml:space="preserve">Derived, not tagged in the filing: revenue - cost of revenue.</t>
        </r>
      </text>
    </comment>
    <comment ref="E11" authorId="0">
      <text>
        <r>
          <rPr>
            <sz val="10"/>
            <rFont val="Arial"/>
            <family val="2"/>
          </rPr>
          <t xml:space="preserve">XBRL tag: GeneralAndAdministrativeExpense
10-K filed 2026-02-04
Accession 0001125376-26-000007</t>
        </r>
      </text>
    </comment>
    <comment ref="E12" authorId="0">
      <text>
        <r>
          <rPr>
            <sz val="10"/>
            <rFont val="Arial"/>
            <family val="2"/>
          </rPr>
          <t xml:space="preserve">XBRL tag: OperatingIncomeLoss
10-K filed 2026-02-04
Accession 0001125376-26-000007</t>
        </r>
      </text>
    </comment>
    <comment ref="E13" authorId="0">
      <text>
        <r>
          <rPr>
            <sz val="10"/>
            <rFont val="Arial"/>
            <family val="2"/>
          </rPr>
          <t xml:space="preserve">XBRL tag: InterestExpenseNonoperating
10-K filed 2026-02-04
Accession 0001125376-26-000007</t>
        </r>
      </text>
    </comment>
    <comment ref="E14" authorId="0">
      <text>
        <r>
          <rPr>
            <sz val="10"/>
            <rFont val="Arial"/>
            <family val="2"/>
          </rPr>
          <t xml:space="preserve">XBRL tag: IncomeLossFromContinuingOperationsBeforeIncomeTaxesExtraordinaryItemsNoncontrollingInterest
10-K filed 2026-02-04
Accession 0001125376-26-000007</t>
        </r>
      </text>
    </comment>
    <comment ref="E15" authorId="0">
      <text>
        <r>
          <rPr>
            <sz val="10"/>
            <rFont val="Arial"/>
            <family val="2"/>
          </rPr>
          <t xml:space="preserve">XBRL tag: IncomeTaxExpenseBenefit
10-K filed 2026-02-04
Accession 0001125376-26-000007</t>
        </r>
      </text>
    </comment>
    <comment ref="E16" authorId="0">
      <text>
        <r>
          <rPr>
            <sz val="10"/>
            <rFont val="Arial"/>
            <family val="2"/>
          </rPr>
          <t xml:space="preserve">XBRL tag: NetIncomeLoss
10-K filed 2026-02-04
Accession 0001125376-26-000007</t>
        </r>
      </text>
    </comment>
    <comment ref="E17" authorId="0">
      <text>
        <r>
          <rPr>
            <sz val="10"/>
            <rFont val="Arial"/>
            <family val="2"/>
          </rPr>
          <t xml:space="preserve">XBRL tag: EarningsPerShareDiluted
10-K filed 2026-02-04
Accession 0001125376-26-000007</t>
        </r>
      </text>
    </comment>
    <comment ref="E18" authorId="0">
      <text>
        <r>
          <rPr>
            <sz val="10"/>
            <rFont val="Arial"/>
            <family val="2"/>
          </rPr>
          <t xml:space="preserve">XBRL tag: WeightedAverageNumberOfDilutedSharesOutstanding
10-K filed 2026-02-04
Accession 0001125376-26-000007</t>
        </r>
      </text>
    </comment>
    <comment ref="E20" authorId="0">
      <text>
        <r>
          <rPr>
            <sz val="10"/>
            <rFont val="Arial"/>
            <family val="2"/>
          </rPr>
          <t xml:space="preserve">XBRL tag: NetCashProvidedByUsedInOperatingActivities
10-K filed 2026-02-04
Accession 0001125376-26-000007</t>
        </r>
      </text>
    </comment>
    <comment ref="E21" authorId="0">
      <text>
        <r>
          <rPr>
            <sz val="10"/>
            <rFont val="Arial"/>
            <family val="2"/>
          </rPr>
          <t xml:space="preserve">XBRL tag: DepreciationDepletionAndAmortization
10-K filed 2026-02-04
Accession 0001125376-26-000007</t>
        </r>
      </text>
    </comment>
    <comment ref="E23" authorId="0">
      <text>
        <r>
          <rPr>
            <sz val="10"/>
            <rFont val="Arial"/>
            <family val="2"/>
          </rPr>
          <t xml:space="preserve">XBRL tag: ShareBasedCompensation
10-K filed 2026-02-04
Accession 0001125376-26-000007</t>
        </r>
      </text>
    </comment>
    <comment ref="E24" authorId="0">
      <text>
        <r>
          <rPr>
            <sz val="10"/>
            <rFont val="Arial"/>
            <family val="2"/>
          </rPr>
          <t xml:space="preserve">XBRL tag: PaymentsOfDividends
10-K filed 2026-02-04
Accession 0001125376-26-000007</t>
        </r>
      </text>
    </comment>
    <comment ref="E25" authorId="0">
      <text>
        <r>
          <rPr>
            <sz val="10"/>
            <rFont val="Arial"/>
            <family val="2"/>
          </rPr>
          <t xml:space="preserve">XBRL tag: PaymentsForRepurchaseOfCommonStock
10-K filed 2026-02-04
Accession 0001125376-26-000007</t>
        </r>
      </text>
    </comment>
    <comment ref="E27" authorId="0">
      <text>
        <r>
          <rPr>
            <sz val="10"/>
            <rFont val="Arial"/>
            <family val="2"/>
          </rPr>
          <t xml:space="preserve">XBRL tag: CashAndCashEquivalentsAtCarryingValue
10-K filed 2026-02-04
Accession 0001125376-26-000007</t>
        </r>
      </text>
    </comment>
    <comment ref="E28" authorId="0">
      <text>
        <r>
          <rPr>
            <sz val="10"/>
            <rFont val="Arial"/>
            <family val="2"/>
          </rPr>
          <t xml:space="preserve">XBRL tag: ShortTermInvestments
10-K filed 2026-02-04
Accession 0001125376-26-000007</t>
        </r>
      </text>
    </comment>
    <comment ref="E29" authorId="0">
      <text>
        <r>
          <rPr>
            <sz val="10"/>
            <rFont val="Arial"/>
            <family val="2"/>
          </rPr>
          <t xml:space="preserve">XBRL tag: AssetsCurrent
10-K filed 2026-02-04
Accession 0001125376-26-000007</t>
        </r>
      </text>
    </comment>
    <comment ref="E30" authorId="0">
      <text>
        <r>
          <rPr>
            <sz val="10"/>
            <rFont val="Arial"/>
            <family val="2"/>
          </rPr>
          <t xml:space="preserve">XBRL tag: LiabilitiesCurrent
10-K filed 2026-02-04
Accession 0001125376-26-000007</t>
        </r>
      </text>
    </comment>
    <comment ref="E31" authorId="0">
      <text>
        <r>
          <rPr>
            <sz val="10"/>
            <rFont val="Arial"/>
            <family val="2"/>
          </rPr>
          <t xml:space="preserve">XBRL tag: LongTermDebtCurrent
10-K filed 2026-02-04
Accession 0001125376-26-000007</t>
        </r>
      </text>
    </comment>
    <comment ref="E32" authorId="0">
      <text>
        <r>
          <rPr>
            <sz val="10"/>
            <rFont val="Arial"/>
            <family val="2"/>
          </rPr>
          <t xml:space="preserve">XBRL tag: LongTermDebtNoncurrent
10-K filed 2026-02-04
Accession 0001125376-26-000007</t>
        </r>
      </text>
    </comment>
    <comment ref="E34" authorId="0">
      <text>
        <r>
          <rPr>
            <sz val="10"/>
            <rFont val="Arial"/>
            <family val="2"/>
          </rPr>
          <t xml:space="preserve">XBRL tag: Assets
10-K filed 2026-02-04
Accession 0001125376-26-000007</t>
        </r>
      </text>
    </comment>
    <comment ref="E35" authorId="0">
      <text>
        <r>
          <rPr>
            <sz val="10"/>
            <rFont val="Arial"/>
            <family val="2"/>
          </rPr>
          <t xml:space="preserve">XBRL tag: Liabilities
10-K filed 2026-02-04
Accession 0001125376-26-000007</t>
        </r>
      </text>
    </comment>
    <comment ref="E36" authorId="0">
      <text>
        <r>
          <rPr>
            <sz val="10"/>
            <rFont val="Arial"/>
            <family val="2"/>
          </rPr>
          <t xml:space="preserve">XBRL tag: StockholdersEquity
10-K filed 2026-02-04
Accession 0001125376-26-000007</t>
        </r>
      </text>
    </comment>
    <comment ref="E37" authorId="0">
      <text>
        <r>
          <rPr>
            <sz val="10"/>
            <rFont val="Arial"/>
            <family val="2"/>
          </rPr>
          <t xml:space="preserve">XBRL tag: MinorityInterest
10-K filed 2026-02-04
Accession 0001125376-26-000007</t>
        </r>
      </text>
    </comment>
    <comment ref="E38" authorId="0">
      <text>
        <r>
          <rPr>
            <sz val="10"/>
            <rFont val="Arial"/>
            <family val="2"/>
          </rPr>
          <t xml:space="preserve">(Current assets - cash - short-term investments) - (current liabilities - short-term debt)</t>
        </r>
      </text>
    </comment>
    <comment ref="F7" authorId="0">
      <text>
        <r>
          <rPr>
            <sz val="10"/>
            <rFont val="Arial"/>
            <family val="2"/>
          </rPr>
          <t xml:space="preserve">XBRL tag: Revenues
10-K filed 2026-02-04
Accession 0001125376-26-000007</t>
        </r>
      </text>
    </comment>
    <comment ref="F8" authorId="0">
      <text>
        <r>
          <rPr>
            <sz val="10"/>
            <rFont val="Arial"/>
            <family val="2"/>
          </rPr>
          <t xml:space="preserve">XBRL tag: CostOfGoodsAndServicesSold
10-K filed 2026-02-04
Accession 0001125376-26-000007</t>
        </r>
      </text>
    </comment>
    <comment ref="F9" authorId="0">
      <text>
        <r>
          <rPr>
            <sz val="10"/>
            <rFont val="Arial"/>
            <family val="2"/>
          </rPr>
          <t xml:space="preserve">Derived, not tagged in the filing: revenue - cost of revenue.</t>
        </r>
      </text>
    </comment>
    <comment ref="F11" authorId="0">
      <text>
        <r>
          <rPr>
            <sz val="10"/>
            <rFont val="Arial"/>
            <family val="2"/>
          </rPr>
          <t xml:space="preserve">XBRL tag: GeneralAndAdministrativeExpense
10-K filed 2026-02-04
Accession 0001125376-26-000007</t>
        </r>
      </text>
    </comment>
    <comment ref="F12" authorId="0">
      <text>
        <r>
          <rPr>
            <sz val="10"/>
            <rFont val="Arial"/>
            <family val="2"/>
          </rPr>
          <t xml:space="preserve">XBRL tag: OperatingIncomeLoss
10-K filed 2026-02-04
Accession 0001125376-26-000007</t>
        </r>
      </text>
    </comment>
    <comment ref="F13" authorId="0">
      <text>
        <r>
          <rPr>
            <sz val="10"/>
            <rFont val="Arial"/>
            <family val="2"/>
          </rPr>
          <t xml:space="preserve">XBRL tag: InterestExpenseNonoperating
10-K filed 2026-02-04
Accession 0001125376-26-000007</t>
        </r>
      </text>
    </comment>
    <comment ref="F14" authorId="0">
      <text>
        <r>
          <rPr>
            <sz val="10"/>
            <rFont val="Arial"/>
            <family val="2"/>
          </rPr>
          <t xml:space="preserve">XBRL tag: IncomeLossFromContinuingOperationsBeforeIncomeTaxesExtraordinaryItemsNoncontrollingInterest
10-K filed 2026-02-04
Accession 0001125376-26-000007</t>
        </r>
      </text>
    </comment>
    <comment ref="F15" authorId="0">
      <text>
        <r>
          <rPr>
            <sz val="10"/>
            <rFont val="Arial"/>
            <family val="2"/>
          </rPr>
          <t xml:space="preserve">XBRL tag: IncomeTaxExpenseBenefit
10-K filed 2026-02-04
Accession 0001125376-26-000007</t>
        </r>
      </text>
    </comment>
    <comment ref="F16" authorId="0">
      <text>
        <r>
          <rPr>
            <sz val="10"/>
            <rFont val="Arial"/>
            <family val="2"/>
          </rPr>
          <t xml:space="preserve">XBRL tag: NetIncomeLoss
10-K filed 2026-02-04
Accession 0001125376-26-000007</t>
        </r>
      </text>
    </comment>
    <comment ref="F17" authorId="0">
      <text>
        <r>
          <rPr>
            <sz val="10"/>
            <rFont val="Arial"/>
            <family val="2"/>
          </rPr>
          <t xml:space="preserve">XBRL tag: EarningsPerShareDiluted
10-K filed 2026-02-04
Accession 0001125376-26-000007</t>
        </r>
      </text>
    </comment>
    <comment ref="F18" authorId="0">
      <text>
        <r>
          <rPr>
            <sz val="10"/>
            <rFont val="Arial"/>
            <family val="2"/>
          </rPr>
          <t xml:space="preserve">XBRL tag: WeightedAverageNumberOfDilutedSharesOutstanding
10-K filed 2026-02-04
Accession 0001125376-26-000007</t>
        </r>
      </text>
    </comment>
    <comment ref="F20" authorId="0">
      <text>
        <r>
          <rPr>
            <sz val="10"/>
            <rFont val="Arial"/>
            <family val="2"/>
          </rPr>
          <t xml:space="preserve">XBRL tag: NetCashProvidedByUsedInOperatingActivities
10-K filed 2026-02-04
Accession 0001125376-26-000007</t>
        </r>
      </text>
    </comment>
    <comment ref="F21" authorId="0">
      <text>
        <r>
          <rPr>
            <sz val="10"/>
            <rFont val="Arial"/>
            <family val="2"/>
          </rPr>
          <t xml:space="preserve">XBRL tag: DepreciationDepletionAndAmortization
10-K filed 2026-02-04
Accession 0001125376-26-000007</t>
        </r>
      </text>
    </comment>
    <comment ref="F23" authorId="0">
      <text>
        <r>
          <rPr>
            <sz val="10"/>
            <rFont val="Arial"/>
            <family val="2"/>
          </rPr>
          <t xml:space="preserve">XBRL tag: ShareBasedCompensation
10-K filed 2026-02-04
Accession 0001125376-26-000007</t>
        </r>
      </text>
    </comment>
    <comment ref="F24" authorId="0">
      <text>
        <r>
          <rPr>
            <sz val="10"/>
            <rFont val="Arial"/>
            <family val="2"/>
          </rPr>
          <t xml:space="preserve">XBRL tag: PaymentsOfDividends
10-K filed 2026-02-04
Accession 0001125376-26-000007</t>
        </r>
      </text>
    </comment>
    <comment ref="F25" authorId="0">
      <text>
        <r>
          <rPr>
            <sz val="10"/>
            <rFont val="Arial"/>
            <family val="2"/>
          </rPr>
          <t xml:space="preserve">XBRL tag: PaymentsForRepurchaseOfCommonStock
10-K filed 2026-02-04
Accession 0001125376-26-000007</t>
        </r>
      </text>
    </comment>
    <comment ref="F27" authorId="0">
      <text>
        <r>
          <rPr>
            <sz val="10"/>
            <rFont val="Arial"/>
            <family val="2"/>
          </rPr>
          <t xml:space="preserve">XBRL tag: CashAndCashEquivalentsAtCarryingValue
10-K filed 2026-02-04
Accession 0001125376-26-000007</t>
        </r>
      </text>
    </comment>
    <comment ref="F28" authorId="0">
      <text>
        <r>
          <rPr>
            <sz val="10"/>
            <rFont val="Arial"/>
            <family val="2"/>
          </rPr>
          <t xml:space="preserve">XBRL tag: ShortTermInvestments
10-K filed 2026-02-04
Accession 0001125376-26-000007</t>
        </r>
      </text>
    </comment>
    <comment ref="F29" authorId="0">
      <text>
        <r>
          <rPr>
            <sz val="10"/>
            <rFont val="Arial"/>
            <family val="2"/>
          </rPr>
          <t xml:space="preserve">XBRL tag: AssetsCurrent
10-K filed 2026-02-04
Accession 0001125376-26-000007</t>
        </r>
      </text>
    </comment>
    <comment ref="F30" authorId="0">
      <text>
        <r>
          <rPr>
            <sz val="10"/>
            <rFont val="Arial"/>
            <family val="2"/>
          </rPr>
          <t xml:space="preserve">XBRL tag: LiabilitiesCurrent
10-K filed 2026-02-04
Accession 0001125376-26-000007</t>
        </r>
      </text>
    </comment>
    <comment ref="F31" authorId="0">
      <text>
        <r>
          <rPr>
            <sz val="10"/>
            <rFont val="Arial"/>
            <family val="2"/>
          </rPr>
          <t xml:space="preserve">XBRL tag: LongTermDebtCurrent
10-K filed 2026-02-04
Accession 0001125376-26-000007</t>
        </r>
      </text>
    </comment>
    <comment ref="F32" authorId="0">
      <text>
        <r>
          <rPr>
            <sz val="10"/>
            <rFont val="Arial"/>
            <family val="2"/>
          </rPr>
          <t xml:space="preserve">XBRL tag: LongTermDebtNoncurrent
10-K filed 2026-02-04
Accession 0001125376-26-000007</t>
        </r>
      </text>
    </comment>
    <comment ref="F34" authorId="0">
      <text>
        <r>
          <rPr>
            <sz val="10"/>
            <rFont val="Arial"/>
            <family val="2"/>
          </rPr>
          <t xml:space="preserve">XBRL tag: Assets
10-K filed 2026-02-04
Accession 0001125376-26-000007</t>
        </r>
      </text>
    </comment>
    <comment ref="F35" authorId="0">
      <text>
        <r>
          <rPr>
            <sz val="10"/>
            <rFont val="Arial"/>
            <family val="2"/>
          </rPr>
          <t xml:space="preserve">XBRL tag: Liabilities
10-K filed 2026-02-04
Accession 0001125376-26-000007</t>
        </r>
      </text>
    </comment>
    <comment ref="F36" authorId="0">
      <text>
        <r>
          <rPr>
            <sz val="10"/>
            <rFont val="Arial"/>
            <family val="2"/>
          </rPr>
          <t xml:space="preserve">XBRL tag: StockholdersEquity
10-K filed 2026-02-04
Accession 0001125376-26-000007</t>
        </r>
      </text>
    </comment>
    <comment ref="F37" authorId="0">
      <text>
        <r>
          <rPr>
            <sz val="10"/>
            <rFont val="Arial"/>
            <family val="2"/>
          </rPr>
          <t xml:space="preserve">XBRL tag: MinorityInterest
10-K filed 2026-02-04
Accession 0001125376-26-000007</t>
        </r>
      </text>
    </comment>
    <comment ref="F38" authorId="0">
      <text>
        <r>
          <rPr>
            <sz val="10"/>
            <rFont val="Arial"/>
            <family val="2"/>
          </rPr>
          <t xml:space="preserve">(Current assets - cash - short-term investments) - (current liabilities - short-term debt)</t>
        </r>
      </text>
    </comment>
  </commentList>
</comments>
</file>

<file path=xl/sharedStrings.xml><?xml version="1.0" encoding="utf-8"?>
<sst xmlns="http://schemas.openxmlformats.org/spreadsheetml/2006/main" count="1144" uniqueCount="240">
  <si>
    <t xml:space="preserve">ENSIGN GROUP, INC</t>
  </si>
  <si>
    <t xml:space="preserve">ENSG  ·  CIK 1125376  ·  Services-Skilled Nursing Care Facilities</t>
  </si>
  <si>
    <t xml:space="preserve">Valuation</t>
  </si>
  <si>
    <t xml:space="preserve">Perpetuity growth</t>
  </si>
  <si>
    <t xml:space="preserve">Exit multiple</t>
  </si>
  <si>
    <t xml:space="preserve">Implied value per share ($)</t>
  </si>
  <si>
    <t xml:space="preserve">Current share price ($)</t>
  </si>
  <si>
    <t xml:space="preserve">Upside / (downside)</t>
  </si>
  <si>
    <t xml:space="preserve">Enterprise value ($mm)</t>
  </si>
  <si>
    <t xml:space="preserve">Equity value ($mm)</t>
  </si>
  <si>
    <t xml:space="preserve">Terminal value as % of enterprise value</t>
  </si>
  <si>
    <t xml:space="preserve">Sensitivity range ($ per share)</t>
  </si>
  <si>
    <t xml:space="preserve">Low</t>
  </si>
  <si>
    <t xml:space="preserve">High</t>
  </si>
  <si>
    <t xml:space="preserve">WACC ±0.5%, terminal growth ±0.5%</t>
  </si>
  <si>
    <t xml:space="preserve">WACC ±0.5%, exit multiple ±1.0x</t>
  </si>
  <si>
    <t xml:space="preserve">Key assumptions</t>
  </si>
  <si>
    <t xml:space="preserve">WACC</t>
  </si>
  <si>
    <t xml:space="preserve">Terminal growth</t>
  </si>
  <si>
    <t xml:space="preserve">Exit EV/EBITDA multiple</t>
  </si>
  <si>
    <t xml:space="preserve">Revenue growth, first forecast year</t>
  </si>
  <si>
    <t xml:space="preserve">EBIT margin, first forecast year</t>
  </si>
  <si>
    <t xml:space="preserve">Tax rate</t>
  </si>
  <si>
    <t xml:space="preserve">Data</t>
  </si>
  <si>
    <t xml:space="preserve">Latest 10-K fiscal year end</t>
  </si>
  <si>
    <t xml:space="preserve">2025-12-31 (FY2025)</t>
  </si>
  <si>
    <t xml:space="preserve">Balance sheet used for the equity bridge</t>
  </si>
  <si>
    <t xml:space="preserve">2026-06-30 (10-Q)</t>
  </si>
  <si>
    <t xml:space="preserve">Shares outstanding as of</t>
  </si>
  <si>
    <t xml:space="preserve">2026-07-23</t>
  </si>
  <si>
    <t xml:space="preserve">Source</t>
  </si>
  <si>
    <t xml:space="preserve">SEC EDGAR XBRL company facts API (data.sec.gov)</t>
  </si>
  <si>
    <t xml:space="preserve">Valuation date</t>
  </si>
  <si>
    <t xml:space="preserve">Check before relying on this</t>
  </si>
  <si>
    <t xml:space="preserve">•  The exit multiple is a generic 10.0x placeholder. Replace it with peer EV/EBITDA multiples.</t>
  </si>
  <si>
    <t xml:space="preserve">•  The risk-free rate is the 10-year Treasury as of Oct 20, 2026. Update it to today's yield.</t>
  </si>
  <si>
    <t xml:space="preserve">•  Capex isn't in the SEC's standardized data for this company (it likely uses a company-specific tag), so capex is set equal to D&amp;A. Check the cash flow statement and replace the capex % on the DCF sheet.</t>
  </si>
  <si>
    <t xml:space="preserve">Assumptions</t>
  </si>
  <si>
    <t xml:space="preserve">Blue = input you can change. Black = formula. Green = link to another sheet. Yellow = check before relying on it.</t>
  </si>
  <si>
    <t xml:space="preserve">Input</t>
  </si>
  <si>
    <t xml:space="preserve">Value</t>
  </si>
  <si>
    <t xml:space="preserve">How the default was set</t>
  </si>
  <si>
    <t xml:space="preserve">Valuation setup</t>
  </si>
  <si>
    <t xml:space="preserve">Cash flows are discounted to this date. Defaults to the day the model was built.</t>
  </si>
  <si>
    <t xml:space="preserve">Last fiscal year end</t>
  </si>
  <si>
    <t xml:space="preserve">From the latest 10-K (FY2025).</t>
  </si>
  <si>
    <t xml:space="preserve">Years elapsed since fiscal year end (stub)</t>
  </si>
  <si>
    <t xml:space="preserve">The first forecast year counts only the part after the valuation date.</t>
  </si>
  <si>
    <t xml:space="preserve">Mid-year convention (1 = on, 0 = off)</t>
  </si>
  <si>
    <t xml:space="preserve">On: each year's cash flow is discounted from the middle of the year.</t>
  </si>
  <si>
    <t xml:space="preserve">Entered by user.</t>
  </si>
  <si>
    <t xml:space="preserve">Shares outstanding (mm)</t>
  </si>
  <si>
    <t xml:space="preserve">Latest cover-page share count. Basic shares; option and RSU dilution isn't added.</t>
  </si>
  <si>
    <t xml:space="preserve">Operating</t>
  </si>
  <si>
    <t xml:space="preserve">Average effective tax rate (FY2023-FY2025: 23.4%), kept between 0% and 35%.</t>
  </si>
  <si>
    <t xml:space="preserve">Terminal value</t>
  </si>
  <si>
    <t xml:space="preserve">Terminal growth rate</t>
  </si>
  <si>
    <t xml:space="preserve">Long-run nominal growth; keep it at or below the risk-free rate.</t>
  </si>
  <si>
    <t xml:space="preserve">Generic placeholder. Replace with peer EV/EBITDA multiples.</t>
  </si>
  <si>
    <t xml:space="preserve">Cost of capital</t>
  </si>
  <si>
    <t xml:space="preserve">Risk-free rate</t>
  </si>
  <si>
    <t xml:space="preserve">10-year Treasury yield; closed at 5.12% on Oct 20, 2026. Update to today's yield.</t>
  </si>
  <si>
    <t xml:space="preserve">Equity risk premium</t>
  </si>
  <si>
    <t xml:space="preserve">Common practitioner assumption. Damodaran publishes a monthly implied ERP.</t>
  </si>
  <si>
    <t xml:space="preserve">Levered beta</t>
  </si>
  <si>
    <t xml:space="preserve">Pre-tax cost of debt</t>
  </si>
  <si>
    <t xml:space="preserve">FY2025 interest expense / average total debt = 5.6%, capped at 12%.</t>
  </si>
  <si>
    <t xml:space="preserve">Target debt weight (used only with no share price)</t>
  </si>
  <si>
    <t xml:space="preserve">Total debt / (total debt + public float of $6.0bn as of 2025-06-30, from the 10-K cover). Public float stands in for market value. Only used when no share price is entered.</t>
  </si>
  <si>
    <t xml:space="preserve">Year-by-year drivers (revenue growth, EBIT margin, D&amp;A, capex, working capital) are the blue cells in the forecast columns of the DCF sheet.</t>
  </si>
  <si>
    <t xml:space="preserve">Historical financials</t>
  </si>
  <si>
    <t xml:space="preserve">ENSIGN GROUP, INC (ENSG). $ in millions except per share. Source: SEC XBRL company facts. Hover a number to see its tag and filing.</t>
  </si>
  <si>
    <t xml:space="preserve">Fiscal year</t>
  </si>
  <si>
    <t xml:space="preserve">FY2021</t>
  </si>
  <si>
    <t xml:space="preserve">FY2022</t>
  </si>
  <si>
    <t xml:space="preserve">FY2023</t>
  </si>
  <si>
    <t xml:space="preserve">FY2024</t>
  </si>
  <si>
    <t xml:space="preserve">FY2025</t>
  </si>
  <si>
    <t xml:space="preserve">Fiscal year end</t>
  </si>
  <si>
    <t xml:space="preserve">Income statement</t>
  </si>
  <si>
    <t xml:space="preserve">Revenue</t>
  </si>
  <si>
    <t xml:space="preserve">Cost of revenue</t>
  </si>
  <si>
    <t xml:space="preserve">Gross profit</t>
  </si>
  <si>
    <t xml:space="preserve">Research and development</t>
  </si>
  <si>
    <t xml:space="preserve">Selling, general and administrative</t>
  </si>
  <si>
    <t xml:space="preserve">Operating income (EBIT)</t>
  </si>
  <si>
    <t xml:space="preserve">Interest expense</t>
  </si>
  <si>
    <t xml:space="preserve">Pretax income</t>
  </si>
  <si>
    <t xml:space="preserve">Income tax expense</t>
  </si>
  <si>
    <t xml:space="preserve">Net income</t>
  </si>
  <si>
    <t xml:space="preserve">Diluted EPS ($)</t>
  </si>
  <si>
    <t xml:space="preserve">Diluted weighted shares (mm)</t>
  </si>
  <si>
    <t xml:space="preserve">Cash flow statement</t>
  </si>
  <si>
    <t xml:space="preserve">Cash from operations</t>
  </si>
  <si>
    <t xml:space="preserve">Depreciation and amortization</t>
  </si>
  <si>
    <t xml:space="preserve">Capital expenditures</t>
  </si>
  <si>
    <t xml:space="preserve">Stock-based compensation</t>
  </si>
  <si>
    <t xml:space="preserve">Dividends paid</t>
  </si>
  <si>
    <t xml:space="preserve">Share repurchases</t>
  </si>
  <si>
    <t xml:space="preserve">Balance sheet</t>
  </si>
  <si>
    <t xml:space="preserve">Cash and equivalents</t>
  </si>
  <si>
    <t xml:space="preserve">Short-term investments</t>
  </si>
  <si>
    <t xml:space="preserve">Total current assets</t>
  </si>
  <si>
    <t xml:space="preserve">Total current liabilities</t>
  </si>
  <si>
    <t xml:space="preserve">Short-term debt and current portion of LTD</t>
  </si>
  <si>
    <t xml:space="preserve">Long-term debt</t>
  </si>
  <si>
    <t xml:space="preserve">Total debt</t>
  </si>
  <si>
    <t xml:space="preserve">Total assets</t>
  </si>
  <si>
    <t xml:space="preserve">Total liabilities</t>
  </si>
  <si>
    <t xml:space="preserve">Shareholders' equity</t>
  </si>
  <si>
    <t xml:space="preserve">Noncontrolling interests</t>
  </si>
  <si>
    <t xml:space="preserve">Operating working capital</t>
  </si>
  <si>
    <t xml:space="preserve">Latest balance sheet (used for the equity bridge)</t>
  </si>
  <si>
    <t xml:space="preserve">As of</t>
  </si>
  <si>
    <t xml:space="preserve">10-Q</t>
  </si>
  <si>
    <t xml:space="preserve">Long-term marketable securities</t>
  </si>
  <si>
    <t xml:space="preserve">Cash and marketable securities</t>
  </si>
  <si>
    <t xml:space="preserve">as of 2026-07-23</t>
  </si>
  <si>
    <t xml:space="preserve">ENSIGN GROUP, INC (ENSG) discounted cash flow</t>
  </si>
  <si>
    <t xml:space="preserve">$ in millions except per share. A = actual (linked to Historicals). E = estimate; blue cells are drivers you can change.</t>
  </si>
  <si>
    <t xml:space="preserve">FY2021A</t>
  </si>
  <si>
    <t xml:space="preserve">FY2022A</t>
  </si>
  <si>
    <t xml:space="preserve">FY2023A</t>
  </si>
  <si>
    <t xml:space="preserve">FY2024A</t>
  </si>
  <si>
    <t xml:space="preserve">FY2025A</t>
  </si>
  <si>
    <t xml:space="preserve">FY2026E</t>
  </si>
  <si>
    <t xml:space="preserve">FY2027E</t>
  </si>
  <si>
    <t xml:space="preserve">FY2028E</t>
  </si>
  <si>
    <t xml:space="preserve">FY2029E</t>
  </si>
  <si>
    <t xml:space="preserve">FY2030E</t>
  </si>
  <si>
    <t xml:space="preserve">  Revenue growth</t>
  </si>
  <si>
    <t xml:space="preserve">  EBIT margin</t>
  </si>
  <si>
    <t xml:space="preserve">Taxes on EBIT</t>
  </si>
  <si>
    <t xml:space="preserve">NOPAT</t>
  </si>
  <si>
    <t xml:space="preserve">Plus: depreciation and amortization</t>
  </si>
  <si>
    <t xml:space="preserve">  % of revenue</t>
  </si>
  <si>
    <t xml:space="preserve">EBITDA (for exit multiple)</t>
  </si>
  <si>
    <t xml:space="preserve">Less: capital expenditures</t>
  </si>
  <si>
    <t xml:space="preserve">Less: increase in working capital</t>
  </si>
  <si>
    <t xml:space="preserve">Unlevered free cash flow</t>
  </si>
  <si>
    <t xml:space="preserve">Discounting</t>
  </si>
  <si>
    <t xml:space="preserve">Forecast year</t>
  </si>
  <si>
    <t xml:space="preserve">Share of year counted</t>
  </si>
  <si>
    <t xml:space="preserve">Discount period (years)</t>
  </si>
  <si>
    <t xml:space="preserve">Discount factor</t>
  </si>
  <si>
    <t xml:space="preserve">PV of free cash flow</t>
  </si>
  <si>
    <t xml:space="preserve">Perpetuity</t>
  </si>
  <si>
    <t xml:space="preserve">Sum of PV of free cash flows</t>
  </si>
  <si>
    <t xml:space="preserve">Terminal-year metric (FCF / EBITDA)</t>
  </si>
  <si>
    <t xml:space="preserve">Discount period for terminal value (years)</t>
  </si>
  <si>
    <t xml:space="preserve">PV of terminal value</t>
  </si>
  <si>
    <t xml:space="preserve">Enterprise value</t>
  </si>
  <si>
    <t xml:space="preserve">Less: total debt</t>
  </si>
  <si>
    <t xml:space="preserve">Plus: cash and marketable securities</t>
  </si>
  <si>
    <t xml:space="preserve">Less: noncontrolling interests</t>
  </si>
  <si>
    <t xml:space="preserve">Equity value</t>
  </si>
  <si>
    <t xml:space="preserve">Implied exit multiple / implied perpetuity growth</t>
  </si>
  <si>
    <t xml:space="preserve">Cost of capital (WACC)</t>
  </si>
  <si>
    <t xml:space="preserve">CAPM cost of equity. Weights use the market value of equity when a share price is entered.</t>
  </si>
  <si>
    <t xml:space="preserve">Cost of equity</t>
  </si>
  <si>
    <t xml:space="preserve">Cost of debt</t>
  </si>
  <si>
    <t xml:space="preserve">After-tax cost of debt</t>
  </si>
  <si>
    <t xml:space="preserve">Capital structure</t>
  </si>
  <si>
    <t xml:space="preserve">Share price ($)</t>
  </si>
  <si>
    <t xml:space="preserve">Market value of equity ($mm)</t>
  </si>
  <si>
    <t xml:space="preserve">Total debt ($mm)</t>
  </si>
  <si>
    <t xml:space="preserve">Debt weight</t>
  </si>
  <si>
    <t xml:space="preserve">Equity weight</t>
  </si>
  <si>
    <t xml:space="preserve">Weights based on</t>
  </si>
  <si>
    <t xml:space="preserve">Result</t>
  </si>
  <si>
    <t xml:space="preserve">Sensitivity</t>
  </si>
  <si>
    <t xml:space="preserve">Implied value per share ($). The bold center cell is the base case.</t>
  </si>
  <si>
    <t xml:space="preserve">WACC vs. terminal growth (perpetuity growth method)</t>
  </si>
  <si>
    <t xml:space="preserve">WACC \ growth</t>
  </si>
  <si>
    <t xml:space="preserve">WACC vs. exit EV/EBITDA multiple (exit multiple method)</t>
  </si>
  <si>
    <t xml:space="preserve">WACC \ multiple</t>
  </si>
  <si>
    <t xml:space="preserve">Sources</t>
  </si>
  <si>
    <t xml:space="preserve">Every historical number, the XBRL tag it came from, and the filing. Values in $mm except EPS and shares.</t>
  </si>
  <si>
    <t xml:space="preserve">Line item</t>
  </si>
  <si>
    <t xml:space="preserve">XBRL tag</t>
  </si>
  <si>
    <t xml:space="preserve">Form</t>
  </si>
  <si>
    <t xml:space="preserve">Filed</t>
  </si>
  <si>
    <t xml:space="preserve">Accession</t>
  </si>
  <si>
    <t xml:space="preserve">Filing</t>
  </si>
  <si>
    <t xml:space="preserve">Revenues</t>
  </si>
  <si>
    <t xml:space="preserve">10-K</t>
  </si>
  <si>
    <t xml:space="preserve">2023-02-02</t>
  </si>
  <si>
    <t xml:space="preserve">0001125376-23-000018</t>
  </si>
  <si>
    <t xml:space="preserve">Open filing</t>
  </si>
  <si>
    <t xml:space="preserve">2026-02-04</t>
  </si>
  <si>
    <t xml:space="preserve">0001125376-26-000007</t>
  </si>
  <si>
    <t xml:space="preserve">CostOfGoodsAndServicesSold</t>
  </si>
  <si>
    <t xml:space="preserve">2024-02-01</t>
  </si>
  <si>
    <t xml:space="preserve">0001125376-24-000018</t>
  </si>
  <si>
    <t xml:space="preserve">2025-02-05</t>
  </si>
  <si>
    <t xml:space="preserve">0001125376-25-000021</t>
  </si>
  <si>
    <t xml:space="preserve">derived: revenue - cost of revenue</t>
  </si>
  <si>
    <t xml:space="preserve">-</t>
  </si>
  <si>
    <t xml:space="preserve">GeneralAndAdministrativeExpense</t>
  </si>
  <si>
    <t xml:space="preserve">OperatingIncomeLoss</t>
  </si>
  <si>
    <t xml:space="preserve">InterestExpense</t>
  </si>
  <si>
    <t xml:space="preserve">InterestExpenseNonoperating</t>
  </si>
  <si>
    <t xml:space="preserve">IncomeLossFromContinuingOperationsBeforeIncomeTaxesExtraordinaryItemsNoncontrollingInterest</t>
  </si>
  <si>
    <t xml:space="preserve">IncomeTaxExpenseBenefit</t>
  </si>
  <si>
    <t xml:space="preserve">NetIncomeLoss</t>
  </si>
  <si>
    <t xml:space="preserve">EarningsPerShareDiluted</t>
  </si>
  <si>
    <t xml:space="preserve">WeightedAverageNumberOfDilutedSharesOutstanding</t>
  </si>
  <si>
    <t xml:space="preserve">NetCashProvidedByUsedInOperatingActivities</t>
  </si>
  <si>
    <t xml:space="preserve">DepreciationDepletionAndAmortization</t>
  </si>
  <si>
    <t xml:space="preserve">ShareBasedCompensation</t>
  </si>
  <si>
    <t xml:space="preserve">PaymentsOfDividends</t>
  </si>
  <si>
    <t xml:space="preserve">PaymentsForRepurchaseOfCommonStock</t>
  </si>
  <si>
    <t xml:space="preserve">CashAndCashEquivalentsAtCarryingValue</t>
  </si>
  <si>
    <t xml:space="preserve">ShortTermInvestments</t>
  </si>
  <si>
    <t xml:space="preserve">AssetsCurrent</t>
  </si>
  <si>
    <t xml:space="preserve">LiabilitiesCurrent</t>
  </si>
  <si>
    <t xml:space="preserve">LongTermDebtCurrent</t>
  </si>
  <si>
    <t xml:space="preserve">LongTermDebtNoncurrent</t>
  </si>
  <si>
    <t xml:space="preserve">Assets</t>
  </si>
  <si>
    <t xml:space="preserve">Liabilities</t>
  </si>
  <si>
    <t xml:space="preserve">StockholdersEquity</t>
  </si>
  <si>
    <t xml:space="preserve">MinorityInterest</t>
  </si>
  <si>
    <t xml:space="preserve">Notes</t>
  </si>
  <si>
    <t xml:space="preserve">Method, data handling, and limitations.</t>
  </si>
  <si>
    <t xml:space="preserve">How to read this workbook</t>
  </si>
  <si>
    <t xml:space="preserve">Blue text is an input you can change. Black text is a formula. Green text links to another sheet. Yellow fill marks a number to check before relying on the result.</t>
  </si>
  <si>
    <t xml:space="preserve">Historicals holds the SEC data. Assumptions and the blue cells on DCF drive the forecast. WACC builds the discount rate. Sensitivity and Summary read from DCF.</t>
  </si>
  <si>
    <t xml:space="preserve">Method</t>
  </si>
  <si>
    <t xml:space="preserve">Unlevered free cash flow = EBIT - taxes on EBIT + D&amp;A - capex - increase in operating working capital. Taxes apply only to positive EBIT; loss carryforwards aren't modeled.</t>
  </si>
  <si>
    <t xml:space="preserve">Cash flows are discounted to the valuation date. The first forecast year counts only the part of the year after that date, and with the mid-year convention on, each year is discounted from its midpoint.</t>
  </si>
  <si>
    <t xml:space="preserve">Terminal value uses perpetuity growth on final-year free cash flow, with an exit EV/EBITDA multiple as a cross-check. Both are discounted from the end of the final forecast year.</t>
  </si>
  <si>
    <t xml:space="preserve">Equity value = enterprise value - total debt + cash, short-term investments, and long-term marketable securities - noncontrolling interests, using the most recent balance sheet filed (10-K or 10-Q).</t>
  </si>
  <si>
    <t xml:space="preserve">Operating working capital = (current assets - cash - short-term investments) - (current liabilities - short-term debt).</t>
  </si>
  <si>
    <t xml:space="preserve">Historical figures come from the SEC XBRL company facts API. Annual values come only from 10-K filings covering 340 to 380 days and are matched on fiscal year end date. When a period appears in more than one filing, the latest filing wins, which picks up restatements.</t>
  </si>
  <si>
    <t xml:space="preserve">Companies use different XBRL tags for the same line. The tool tries a ranked list of tags per line; the tag actually used is shown when you hover a number and on the Sources sheet.</t>
  </si>
  <si>
    <t xml:space="preserve">Limitations</t>
  </si>
  <si>
    <t xml:space="preserve">Debt excludes operating leases. Finance leases are included only when the company tags them together with debt.</t>
  </si>
  <si>
    <t xml:space="preserve">Shares are basic shares outstanding from the latest cover page. Dilution from options and RSUs isn't added.</t>
  </si>
  <si>
    <t xml:space="preserve">Banks, insurers, and REITs need different valuation methods.</t>
  </si>
  <si>
    <t xml:space="preserve">Default assumptions come from the company's own history. They are a starting point, not a forecast.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</si>
</sst>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.00;&quot;($&quot;#,##0.00\);\-"/>
    <numFmt numFmtId="166" formatCode="0.0%;\(0.0%\);\-"/>
    <numFmt numFmtId="167" formatCode="#,##0.0;\(#,##0.0\);\-"/>
    <numFmt numFmtId="168" formatCode="0.00%"/>
    <numFmt numFmtId="169" formatCode="0.0\x;\(0.0&quot;x)&quot;;\-"/>
    <numFmt numFmtId="170" formatCode="yyyy\-mm\-dd"/>
    <numFmt numFmtId="171" formatCode="0.00"/>
    <numFmt numFmtId="172" formatCode="0"/>
    <numFmt numFmtId="173" formatCode="0.00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i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9EDF4"/>
        <bgColor rgb="FFFFFFFF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9AA3B5"/>
      </top>
      <bottom/>
      <diagonal/>
    </border>
    <border diagonalUp="false" diagonalDown="false">
      <left style="medium">
        <color rgb="FF1F2A44"/>
      </left>
      <right style="medium">
        <color rgb="FF1F2A44"/>
      </right>
      <top style="medium">
        <color rgb="FF1F2A44"/>
      </top>
      <bottom style="medium">
        <color rgb="FF1F2A4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66666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9ED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AA3B5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sec.gov/Archives/edgar/data/1125376/000112537623000018/" TargetMode="External"/><Relationship Id="rId2" Type="http://schemas.openxmlformats.org/officeDocument/2006/relationships/hyperlink" Target="https://www.sec.gov/Archives/edgar/data/1125376/000112537623000018/" TargetMode="External"/><Relationship Id="rId3" Type="http://schemas.openxmlformats.org/officeDocument/2006/relationships/hyperlink" Target="https://www.sec.gov/Archives/edgar/data/1125376/000112537626000007/" TargetMode="External"/><Relationship Id="rId4" Type="http://schemas.openxmlformats.org/officeDocument/2006/relationships/hyperlink" Target="https://www.sec.gov/Archives/edgar/data/1125376/000112537626000007/" TargetMode="External"/><Relationship Id="rId5" Type="http://schemas.openxmlformats.org/officeDocument/2006/relationships/hyperlink" Target="https://www.sec.gov/Archives/edgar/data/1125376/000112537626000007/" TargetMode="External"/><Relationship Id="rId6" Type="http://schemas.openxmlformats.org/officeDocument/2006/relationships/hyperlink" Target="https://www.sec.gov/Archives/edgar/data/1125376/000112537624000018/" TargetMode="External"/><Relationship Id="rId7" Type="http://schemas.openxmlformats.org/officeDocument/2006/relationships/hyperlink" Target="https://www.sec.gov/Archives/edgar/data/1125376/000112537625000021/" TargetMode="External"/><Relationship Id="rId8" Type="http://schemas.openxmlformats.org/officeDocument/2006/relationships/hyperlink" Target="https://www.sec.gov/Archives/edgar/data/1125376/000112537626000007/" TargetMode="External"/><Relationship Id="rId9" Type="http://schemas.openxmlformats.org/officeDocument/2006/relationships/hyperlink" Target="https://www.sec.gov/Archives/edgar/data/1125376/000112537626000007/" TargetMode="External"/><Relationship Id="rId10" Type="http://schemas.openxmlformats.org/officeDocument/2006/relationships/hyperlink" Target="https://www.sec.gov/Archives/edgar/data/1125376/000112537626000007/" TargetMode="External"/><Relationship Id="rId11" Type="http://schemas.openxmlformats.org/officeDocument/2006/relationships/hyperlink" Target="https://www.sec.gov/Archives/edgar/data/1125376/000112537624000018/" TargetMode="External"/><Relationship Id="rId12" Type="http://schemas.openxmlformats.org/officeDocument/2006/relationships/hyperlink" Target="https://www.sec.gov/Archives/edgar/data/1125376/000112537625000021/" TargetMode="External"/><Relationship Id="rId13" Type="http://schemas.openxmlformats.org/officeDocument/2006/relationships/hyperlink" Target="https://www.sec.gov/Archives/edgar/data/1125376/000112537626000007/" TargetMode="External"/><Relationship Id="rId14" Type="http://schemas.openxmlformats.org/officeDocument/2006/relationships/hyperlink" Target="https://www.sec.gov/Archives/edgar/data/1125376/000112537626000007/" TargetMode="External"/><Relationship Id="rId15" Type="http://schemas.openxmlformats.org/officeDocument/2006/relationships/hyperlink" Target="https://www.sec.gov/Archives/edgar/data/1125376/000112537626000007/" TargetMode="External"/><Relationship Id="rId16" Type="http://schemas.openxmlformats.org/officeDocument/2006/relationships/hyperlink" Target="https://www.sec.gov/Archives/edgar/data/1125376/000112537624000018/" TargetMode="External"/><Relationship Id="rId17" Type="http://schemas.openxmlformats.org/officeDocument/2006/relationships/hyperlink" Target="https://www.sec.gov/Archives/edgar/data/1125376/000112537625000021/" TargetMode="External"/><Relationship Id="rId18" Type="http://schemas.openxmlformats.org/officeDocument/2006/relationships/hyperlink" Target="https://www.sec.gov/Archives/edgar/data/1125376/000112537626000007/" TargetMode="External"/><Relationship Id="rId19" Type="http://schemas.openxmlformats.org/officeDocument/2006/relationships/hyperlink" Target="https://www.sec.gov/Archives/edgar/data/1125376/000112537626000007/" TargetMode="External"/><Relationship Id="rId20" Type="http://schemas.openxmlformats.org/officeDocument/2006/relationships/hyperlink" Target="https://www.sec.gov/Archives/edgar/data/1125376/000112537626000007/" TargetMode="External"/><Relationship Id="rId21" Type="http://schemas.openxmlformats.org/officeDocument/2006/relationships/hyperlink" Target="https://www.sec.gov/Archives/edgar/data/1125376/000112537624000018/" TargetMode="External"/><Relationship Id="rId22" Type="http://schemas.openxmlformats.org/officeDocument/2006/relationships/hyperlink" Target="https://www.sec.gov/Archives/edgar/data/1125376/000112537624000018/" TargetMode="External"/><Relationship Id="rId23" Type="http://schemas.openxmlformats.org/officeDocument/2006/relationships/hyperlink" Target="https://www.sec.gov/Archives/edgar/data/1125376/000112537624000018/" TargetMode="External"/><Relationship Id="rId24" Type="http://schemas.openxmlformats.org/officeDocument/2006/relationships/hyperlink" Target="https://www.sec.gov/Archives/edgar/data/1125376/000112537626000007/" TargetMode="External"/><Relationship Id="rId25" Type="http://schemas.openxmlformats.org/officeDocument/2006/relationships/hyperlink" Target="https://www.sec.gov/Archives/edgar/data/1125376/000112537626000007/" TargetMode="External"/><Relationship Id="rId26" Type="http://schemas.openxmlformats.org/officeDocument/2006/relationships/hyperlink" Target="https://www.sec.gov/Archives/edgar/data/1125376/000112537624000018/" TargetMode="External"/><Relationship Id="rId27" Type="http://schemas.openxmlformats.org/officeDocument/2006/relationships/hyperlink" Target="https://www.sec.gov/Archives/edgar/data/1125376/000112537625000021/" TargetMode="External"/><Relationship Id="rId28" Type="http://schemas.openxmlformats.org/officeDocument/2006/relationships/hyperlink" Target="https://www.sec.gov/Archives/edgar/data/1125376/000112537626000007/" TargetMode="External"/><Relationship Id="rId29" Type="http://schemas.openxmlformats.org/officeDocument/2006/relationships/hyperlink" Target="https://www.sec.gov/Archives/edgar/data/1125376/000112537626000007/" TargetMode="External"/><Relationship Id="rId30" Type="http://schemas.openxmlformats.org/officeDocument/2006/relationships/hyperlink" Target="https://www.sec.gov/Archives/edgar/data/1125376/000112537626000007/" TargetMode="External"/><Relationship Id="rId31" Type="http://schemas.openxmlformats.org/officeDocument/2006/relationships/hyperlink" Target="https://www.sec.gov/Archives/edgar/data/1125376/000112537624000018/" TargetMode="External"/><Relationship Id="rId32" Type="http://schemas.openxmlformats.org/officeDocument/2006/relationships/hyperlink" Target="https://www.sec.gov/Archives/edgar/data/1125376/000112537625000021/" TargetMode="External"/><Relationship Id="rId33" Type="http://schemas.openxmlformats.org/officeDocument/2006/relationships/hyperlink" Target="https://www.sec.gov/Archives/edgar/data/1125376/000112537626000007/" TargetMode="External"/><Relationship Id="rId34" Type="http://schemas.openxmlformats.org/officeDocument/2006/relationships/hyperlink" Target="https://www.sec.gov/Archives/edgar/data/1125376/000112537626000007/" TargetMode="External"/><Relationship Id="rId35" Type="http://schemas.openxmlformats.org/officeDocument/2006/relationships/hyperlink" Target="https://www.sec.gov/Archives/edgar/data/1125376/000112537626000007/" TargetMode="External"/><Relationship Id="rId36" Type="http://schemas.openxmlformats.org/officeDocument/2006/relationships/hyperlink" Target="https://www.sec.gov/Archives/edgar/data/1125376/000112537624000018/" TargetMode="External"/><Relationship Id="rId37" Type="http://schemas.openxmlformats.org/officeDocument/2006/relationships/hyperlink" Target="https://www.sec.gov/Archives/edgar/data/1125376/000112537625000021/" TargetMode="External"/><Relationship Id="rId38" Type="http://schemas.openxmlformats.org/officeDocument/2006/relationships/hyperlink" Target="https://www.sec.gov/Archives/edgar/data/1125376/000112537626000007/" TargetMode="External"/><Relationship Id="rId39" Type="http://schemas.openxmlformats.org/officeDocument/2006/relationships/hyperlink" Target="https://www.sec.gov/Archives/edgar/data/1125376/000112537626000007/" TargetMode="External"/><Relationship Id="rId40" Type="http://schemas.openxmlformats.org/officeDocument/2006/relationships/hyperlink" Target="https://www.sec.gov/Archives/edgar/data/1125376/000112537626000007/" TargetMode="External"/><Relationship Id="rId41" Type="http://schemas.openxmlformats.org/officeDocument/2006/relationships/hyperlink" Target="https://www.sec.gov/Archives/edgar/data/1125376/000112537624000018/" TargetMode="External"/><Relationship Id="rId42" Type="http://schemas.openxmlformats.org/officeDocument/2006/relationships/hyperlink" Target="https://www.sec.gov/Archives/edgar/data/1125376/000112537625000021/" TargetMode="External"/><Relationship Id="rId43" Type="http://schemas.openxmlformats.org/officeDocument/2006/relationships/hyperlink" Target="https://www.sec.gov/Archives/edgar/data/1125376/000112537626000007/" TargetMode="External"/><Relationship Id="rId44" Type="http://schemas.openxmlformats.org/officeDocument/2006/relationships/hyperlink" Target="https://www.sec.gov/Archives/edgar/data/1125376/000112537626000007/" TargetMode="External"/><Relationship Id="rId45" Type="http://schemas.openxmlformats.org/officeDocument/2006/relationships/hyperlink" Target="https://www.sec.gov/Archives/edgar/data/1125376/000112537626000007/" TargetMode="External"/><Relationship Id="rId46" Type="http://schemas.openxmlformats.org/officeDocument/2006/relationships/hyperlink" Target="https://www.sec.gov/Archives/edgar/data/1125376/000112537624000018/" TargetMode="External"/><Relationship Id="rId47" Type="http://schemas.openxmlformats.org/officeDocument/2006/relationships/hyperlink" Target="https://www.sec.gov/Archives/edgar/data/1125376/000112537625000021/" TargetMode="External"/><Relationship Id="rId48" Type="http://schemas.openxmlformats.org/officeDocument/2006/relationships/hyperlink" Target="https://www.sec.gov/Archives/edgar/data/1125376/000112537626000007/" TargetMode="External"/><Relationship Id="rId49" Type="http://schemas.openxmlformats.org/officeDocument/2006/relationships/hyperlink" Target="https://www.sec.gov/Archives/edgar/data/1125376/000112537626000007/" TargetMode="External"/><Relationship Id="rId50" Type="http://schemas.openxmlformats.org/officeDocument/2006/relationships/hyperlink" Target="https://www.sec.gov/Archives/edgar/data/1125376/000112537626000007/" TargetMode="External"/><Relationship Id="rId51" Type="http://schemas.openxmlformats.org/officeDocument/2006/relationships/hyperlink" Target="https://www.sec.gov/Archives/edgar/data/1125376/000112537624000018/" TargetMode="External"/><Relationship Id="rId52" Type="http://schemas.openxmlformats.org/officeDocument/2006/relationships/hyperlink" Target="https://www.sec.gov/Archives/edgar/data/1125376/000112537625000021/" TargetMode="External"/><Relationship Id="rId53" Type="http://schemas.openxmlformats.org/officeDocument/2006/relationships/hyperlink" Target="https://www.sec.gov/Archives/edgar/data/1125376/000112537626000007/" TargetMode="External"/><Relationship Id="rId54" Type="http://schemas.openxmlformats.org/officeDocument/2006/relationships/hyperlink" Target="https://www.sec.gov/Archives/edgar/data/1125376/000112537626000007/" TargetMode="External"/><Relationship Id="rId55" Type="http://schemas.openxmlformats.org/officeDocument/2006/relationships/hyperlink" Target="https://www.sec.gov/Archives/edgar/data/1125376/000112537626000007/" TargetMode="External"/><Relationship Id="rId56" Type="http://schemas.openxmlformats.org/officeDocument/2006/relationships/hyperlink" Target="https://www.sec.gov/Archives/edgar/data/1125376/000112537624000018/" TargetMode="External"/><Relationship Id="rId57" Type="http://schemas.openxmlformats.org/officeDocument/2006/relationships/hyperlink" Target="https://www.sec.gov/Archives/edgar/data/1125376/000112537625000021/" TargetMode="External"/><Relationship Id="rId58" Type="http://schemas.openxmlformats.org/officeDocument/2006/relationships/hyperlink" Target="https://www.sec.gov/Archives/edgar/data/1125376/000112537626000007/" TargetMode="External"/><Relationship Id="rId59" Type="http://schemas.openxmlformats.org/officeDocument/2006/relationships/hyperlink" Target="https://www.sec.gov/Archives/edgar/data/1125376/000112537626000007/" TargetMode="External"/><Relationship Id="rId60" Type="http://schemas.openxmlformats.org/officeDocument/2006/relationships/hyperlink" Target="https://www.sec.gov/Archives/edgar/data/1125376/000112537626000007/" TargetMode="External"/><Relationship Id="rId61" Type="http://schemas.openxmlformats.org/officeDocument/2006/relationships/hyperlink" Target="https://www.sec.gov/Archives/edgar/data/1125376/000112537624000018/" TargetMode="External"/><Relationship Id="rId62" Type="http://schemas.openxmlformats.org/officeDocument/2006/relationships/hyperlink" Target="https://www.sec.gov/Archives/edgar/data/1125376/000112537625000021/" TargetMode="External"/><Relationship Id="rId63" Type="http://schemas.openxmlformats.org/officeDocument/2006/relationships/hyperlink" Target="https://www.sec.gov/Archives/edgar/data/1125376/000112537626000007/" TargetMode="External"/><Relationship Id="rId64" Type="http://schemas.openxmlformats.org/officeDocument/2006/relationships/hyperlink" Target="https://www.sec.gov/Archives/edgar/data/1125376/000112537626000007/" TargetMode="External"/><Relationship Id="rId65" Type="http://schemas.openxmlformats.org/officeDocument/2006/relationships/hyperlink" Target="https://www.sec.gov/Archives/edgar/data/1125376/000112537626000007/" TargetMode="External"/><Relationship Id="rId66" Type="http://schemas.openxmlformats.org/officeDocument/2006/relationships/hyperlink" Target="https://www.sec.gov/Archives/edgar/data/1125376/000112537624000018/" TargetMode="External"/><Relationship Id="rId67" Type="http://schemas.openxmlformats.org/officeDocument/2006/relationships/hyperlink" Target="https://www.sec.gov/Archives/edgar/data/1125376/000112537625000021/" TargetMode="External"/><Relationship Id="rId68" Type="http://schemas.openxmlformats.org/officeDocument/2006/relationships/hyperlink" Target="https://www.sec.gov/Archives/edgar/data/1125376/000112537626000007/" TargetMode="External"/><Relationship Id="rId69" Type="http://schemas.openxmlformats.org/officeDocument/2006/relationships/hyperlink" Target="https://www.sec.gov/Archives/edgar/data/1125376/000112537626000007/" TargetMode="External"/><Relationship Id="rId70" Type="http://schemas.openxmlformats.org/officeDocument/2006/relationships/hyperlink" Target="https://www.sec.gov/Archives/edgar/data/1125376/000112537626000007/" TargetMode="External"/><Relationship Id="rId71" Type="http://schemas.openxmlformats.org/officeDocument/2006/relationships/hyperlink" Target="https://www.sec.gov/Archives/edgar/data/1125376/000112537624000018/" TargetMode="External"/><Relationship Id="rId72" Type="http://schemas.openxmlformats.org/officeDocument/2006/relationships/hyperlink" Target="https://www.sec.gov/Archives/edgar/data/1125376/000112537625000021/" TargetMode="External"/><Relationship Id="rId73" Type="http://schemas.openxmlformats.org/officeDocument/2006/relationships/hyperlink" Target="https://www.sec.gov/Archives/edgar/data/1125376/000112537626000007/" TargetMode="External"/><Relationship Id="rId74" Type="http://schemas.openxmlformats.org/officeDocument/2006/relationships/hyperlink" Target="https://www.sec.gov/Archives/edgar/data/1125376/000112537626000007/" TargetMode="External"/><Relationship Id="rId75" Type="http://schemas.openxmlformats.org/officeDocument/2006/relationships/hyperlink" Target="https://www.sec.gov/Archives/edgar/data/1125376/000112537626000007/" TargetMode="External"/><Relationship Id="rId76" Type="http://schemas.openxmlformats.org/officeDocument/2006/relationships/hyperlink" Target="https://www.sec.gov/Archives/edgar/data/1125376/000112537623000018/" TargetMode="External"/><Relationship Id="rId77" Type="http://schemas.openxmlformats.org/officeDocument/2006/relationships/hyperlink" Target="https://www.sec.gov/Archives/edgar/data/1125376/000112537624000018/" TargetMode="External"/><Relationship Id="rId78" Type="http://schemas.openxmlformats.org/officeDocument/2006/relationships/hyperlink" Target="https://www.sec.gov/Archives/edgar/data/1125376/000112537625000021/" TargetMode="External"/><Relationship Id="rId79" Type="http://schemas.openxmlformats.org/officeDocument/2006/relationships/hyperlink" Target="https://www.sec.gov/Archives/edgar/data/1125376/000112537626000007/" TargetMode="External"/><Relationship Id="rId80" Type="http://schemas.openxmlformats.org/officeDocument/2006/relationships/hyperlink" Target="https://www.sec.gov/Archives/edgar/data/1125376/000112537626000007/" TargetMode="External"/><Relationship Id="rId81" Type="http://schemas.openxmlformats.org/officeDocument/2006/relationships/hyperlink" Target="https://www.sec.gov/Archives/edgar/data/1125376/000112537623000018/" TargetMode="External"/><Relationship Id="rId82" Type="http://schemas.openxmlformats.org/officeDocument/2006/relationships/hyperlink" Target="https://www.sec.gov/Archives/edgar/data/1125376/000112537624000018/" TargetMode="External"/><Relationship Id="rId83" Type="http://schemas.openxmlformats.org/officeDocument/2006/relationships/hyperlink" Target="https://www.sec.gov/Archives/edgar/data/1125376/000112537625000021/" TargetMode="External"/><Relationship Id="rId84" Type="http://schemas.openxmlformats.org/officeDocument/2006/relationships/hyperlink" Target="https://www.sec.gov/Archives/edgar/data/1125376/000112537626000007/" TargetMode="External"/><Relationship Id="rId85" Type="http://schemas.openxmlformats.org/officeDocument/2006/relationships/hyperlink" Target="https://www.sec.gov/Archives/edgar/data/1125376/000112537626000007/" TargetMode="External"/><Relationship Id="rId86" Type="http://schemas.openxmlformats.org/officeDocument/2006/relationships/hyperlink" Target="https://www.sec.gov/Archives/edgar/data/1125376/000112537623000018/" TargetMode="External"/><Relationship Id="rId87" Type="http://schemas.openxmlformats.org/officeDocument/2006/relationships/hyperlink" Target="https://www.sec.gov/Archives/edgar/data/1125376/000112537624000018/" TargetMode="External"/><Relationship Id="rId88" Type="http://schemas.openxmlformats.org/officeDocument/2006/relationships/hyperlink" Target="https://www.sec.gov/Archives/edgar/data/1125376/000112537625000021/" TargetMode="External"/><Relationship Id="rId89" Type="http://schemas.openxmlformats.org/officeDocument/2006/relationships/hyperlink" Target="https://www.sec.gov/Archives/edgar/data/1125376/000112537626000007/" TargetMode="External"/><Relationship Id="rId90" Type="http://schemas.openxmlformats.org/officeDocument/2006/relationships/hyperlink" Target="https://www.sec.gov/Archives/edgar/data/1125376/000112537626000007/" TargetMode="External"/><Relationship Id="rId91" Type="http://schemas.openxmlformats.org/officeDocument/2006/relationships/hyperlink" Target="https://www.sec.gov/Archives/edgar/data/1125376/000112537623000018/" TargetMode="External"/><Relationship Id="rId92" Type="http://schemas.openxmlformats.org/officeDocument/2006/relationships/hyperlink" Target="https://www.sec.gov/Archives/edgar/data/1125376/000112537624000018/" TargetMode="External"/><Relationship Id="rId93" Type="http://schemas.openxmlformats.org/officeDocument/2006/relationships/hyperlink" Target="https://www.sec.gov/Archives/edgar/data/1125376/000112537625000021/" TargetMode="External"/><Relationship Id="rId94" Type="http://schemas.openxmlformats.org/officeDocument/2006/relationships/hyperlink" Target="https://www.sec.gov/Archives/edgar/data/1125376/000112537626000007/" TargetMode="External"/><Relationship Id="rId95" Type="http://schemas.openxmlformats.org/officeDocument/2006/relationships/hyperlink" Target="https://www.sec.gov/Archives/edgar/data/1125376/000112537626000007/" TargetMode="External"/><Relationship Id="rId96" Type="http://schemas.openxmlformats.org/officeDocument/2006/relationships/hyperlink" Target="https://www.sec.gov/Archives/edgar/data/1125376/000112537623000018/" TargetMode="External"/><Relationship Id="rId97" Type="http://schemas.openxmlformats.org/officeDocument/2006/relationships/hyperlink" Target="https://www.sec.gov/Archives/edgar/data/1125376/000112537624000018/" TargetMode="External"/><Relationship Id="rId98" Type="http://schemas.openxmlformats.org/officeDocument/2006/relationships/hyperlink" Target="https://www.sec.gov/Archives/edgar/data/1125376/000112537625000021/" TargetMode="External"/><Relationship Id="rId99" Type="http://schemas.openxmlformats.org/officeDocument/2006/relationships/hyperlink" Target="https://www.sec.gov/Archives/edgar/data/1125376/000112537626000007/" TargetMode="External"/><Relationship Id="rId100" Type="http://schemas.openxmlformats.org/officeDocument/2006/relationships/hyperlink" Target="https://www.sec.gov/Archives/edgar/data/1125376/000112537626000007/" TargetMode="External"/><Relationship Id="rId101" Type="http://schemas.openxmlformats.org/officeDocument/2006/relationships/hyperlink" Target="https://www.sec.gov/Archives/edgar/data/1125376/000112537623000018/" TargetMode="External"/><Relationship Id="rId102" Type="http://schemas.openxmlformats.org/officeDocument/2006/relationships/hyperlink" Target="https://www.sec.gov/Archives/edgar/data/1125376/000112537624000018/" TargetMode="External"/><Relationship Id="rId103" Type="http://schemas.openxmlformats.org/officeDocument/2006/relationships/hyperlink" Target="https://www.sec.gov/Archives/edgar/data/1125376/000112537625000021/" TargetMode="External"/><Relationship Id="rId104" Type="http://schemas.openxmlformats.org/officeDocument/2006/relationships/hyperlink" Target="https://www.sec.gov/Archives/edgar/data/1125376/000112537626000007/" TargetMode="External"/><Relationship Id="rId105" Type="http://schemas.openxmlformats.org/officeDocument/2006/relationships/hyperlink" Target="https://www.sec.gov/Archives/edgar/data/1125376/000112537626000007/" TargetMode="External"/><Relationship Id="rId106" Type="http://schemas.openxmlformats.org/officeDocument/2006/relationships/hyperlink" Target="https://www.sec.gov/Archives/edgar/data/1125376/000112537623000018/" TargetMode="External"/><Relationship Id="rId107" Type="http://schemas.openxmlformats.org/officeDocument/2006/relationships/hyperlink" Target="https://www.sec.gov/Archives/edgar/data/1125376/000112537624000018/" TargetMode="External"/><Relationship Id="rId108" Type="http://schemas.openxmlformats.org/officeDocument/2006/relationships/hyperlink" Target="https://www.sec.gov/Archives/edgar/data/1125376/000112537625000021/" TargetMode="External"/><Relationship Id="rId109" Type="http://schemas.openxmlformats.org/officeDocument/2006/relationships/hyperlink" Target="https://www.sec.gov/Archives/edgar/data/1125376/000112537626000007/" TargetMode="External"/><Relationship Id="rId110" Type="http://schemas.openxmlformats.org/officeDocument/2006/relationships/hyperlink" Target="https://www.sec.gov/Archives/edgar/data/1125376/000112537626000007/" TargetMode="External"/><Relationship Id="rId111" Type="http://schemas.openxmlformats.org/officeDocument/2006/relationships/hyperlink" Target="https://www.sec.gov/Archives/edgar/data/1125376/000112537623000018/" TargetMode="External"/><Relationship Id="rId112" Type="http://schemas.openxmlformats.org/officeDocument/2006/relationships/hyperlink" Target="https://www.sec.gov/Archives/edgar/data/1125376/000112537624000018/" TargetMode="External"/><Relationship Id="rId113" Type="http://schemas.openxmlformats.org/officeDocument/2006/relationships/hyperlink" Target="https://www.sec.gov/Archives/edgar/data/1125376/000112537625000021/" TargetMode="External"/><Relationship Id="rId114" Type="http://schemas.openxmlformats.org/officeDocument/2006/relationships/hyperlink" Target="https://www.sec.gov/Archives/edgar/data/1125376/000112537626000007/" TargetMode="External"/><Relationship Id="rId115" Type="http://schemas.openxmlformats.org/officeDocument/2006/relationships/hyperlink" Target="https://www.sec.gov/Archives/edgar/data/1125376/000112537626000007/" TargetMode="External"/><Relationship Id="rId116" Type="http://schemas.openxmlformats.org/officeDocument/2006/relationships/hyperlink" Target="https://www.sec.gov/Archives/edgar/data/1125376/000112537623000018/" TargetMode="External"/><Relationship Id="rId117" Type="http://schemas.openxmlformats.org/officeDocument/2006/relationships/hyperlink" Target="https://www.sec.gov/Archives/edgar/data/1125376/000112537624000018/" TargetMode="External"/><Relationship Id="rId118" Type="http://schemas.openxmlformats.org/officeDocument/2006/relationships/hyperlink" Target="https://www.sec.gov/Archives/edgar/data/1125376/000112537625000021/" TargetMode="External"/><Relationship Id="rId119" Type="http://schemas.openxmlformats.org/officeDocument/2006/relationships/hyperlink" Target="https://www.sec.gov/Archives/edgar/data/1125376/000112537626000007/" TargetMode="External"/><Relationship Id="rId120" Type="http://schemas.openxmlformats.org/officeDocument/2006/relationships/hyperlink" Target="https://www.sec.gov/Archives/edgar/data/1125376/000112537626000007/" TargetMode="External"/><Relationship Id="rId121" Type="http://schemas.openxmlformats.org/officeDocument/2006/relationships/hyperlink" Target="https://www.sec.gov/Archives/edgar/data/1125376/000112537623000018/" TargetMode="External"/><Relationship Id="rId122" Type="http://schemas.openxmlformats.org/officeDocument/2006/relationships/hyperlink" Target="https://www.sec.gov/Archives/edgar/data/1125376/000112537624000018/" TargetMode="External"/><Relationship Id="rId123" Type="http://schemas.openxmlformats.org/officeDocument/2006/relationships/hyperlink" Target="https://www.sec.gov/Archives/edgar/data/1125376/000112537625000021/" TargetMode="External"/><Relationship Id="rId124" Type="http://schemas.openxmlformats.org/officeDocument/2006/relationships/hyperlink" Target="https://www.sec.gov/Archives/edgar/data/1125376/000112537626000007/" TargetMode="External"/><Relationship Id="rId125" Type="http://schemas.openxmlformats.org/officeDocument/2006/relationships/hyperlink" Target="https://www.sec.gov/Archives/edgar/data/1125376/000112537626000007/" TargetMode="External"/><Relationship Id="rId126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n">
        <f aca="false">DCF!B41</f>
        <v>154.162895625387</v>
      </c>
      <c r="C5" s="6" t="n">
        <f aca="false">DCF!C41</f>
        <v>142.3771961101</v>
      </c>
    </row>
    <row r="6" customFormat="false" ht="15" hidden="false" customHeight="false" outlineLevel="0" collapsed="false">
      <c r="A6" s="7" t="s">
        <v>6</v>
      </c>
      <c r="B6" s="8" t="n">
        <f aca="false">DCF!B42</f>
        <v>178.35</v>
      </c>
      <c r="C6" s="8" t="n">
        <f aca="false">DCF!C42</f>
        <v>178.35</v>
      </c>
    </row>
    <row r="7" customFormat="false" ht="15" hidden="false" customHeight="false" outlineLevel="0" collapsed="false">
      <c r="A7" s="5" t="s">
        <v>7</v>
      </c>
      <c r="B7" s="9" t="n">
        <f aca="false">DCF!B43</f>
        <v>-0.135615948273692</v>
      </c>
      <c r="C7" s="9" t="n">
        <f aca="false">DCF!C43</f>
        <v>-0.2016978070642</v>
      </c>
    </row>
    <row r="8" customFormat="false" ht="15" hidden="false" customHeight="false" outlineLevel="0" collapsed="false">
      <c r="A8" s="7" t="s">
        <v>8</v>
      </c>
      <c r="B8" s="10" t="n">
        <f aca="false">DCF!B34</f>
        <v>8807.50978953551</v>
      </c>
      <c r="C8" s="10" t="n">
        <f aca="false">DCF!C34</f>
        <v>8120.61053539195</v>
      </c>
    </row>
    <row r="9" customFormat="false" ht="15" hidden="false" customHeight="false" outlineLevel="0" collapsed="false">
      <c r="A9" s="7" t="s">
        <v>9</v>
      </c>
      <c r="B9" s="10" t="n">
        <f aca="false">DCF!B39</f>
        <v>8984.98878953551</v>
      </c>
      <c r="C9" s="10" t="n">
        <f aca="false">DCF!C39</f>
        <v>8298.08953539195</v>
      </c>
    </row>
    <row r="10" customFormat="false" ht="15" hidden="false" customHeight="false" outlineLevel="0" collapsed="false">
      <c r="A10" s="7" t="s">
        <v>10</v>
      </c>
      <c r="B10" s="11" t="n">
        <f aca="false">DCF!B35</f>
        <v>0.796379803392177</v>
      </c>
      <c r="C10" s="11" t="n">
        <f aca="false">DCF!C35</f>
        <v>0.779156152464837</v>
      </c>
    </row>
    <row r="12" customFormat="false" ht="15" hidden="false" customHeight="false" outlineLevel="0" collapsed="false">
      <c r="A12" s="3" t="s">
        <v>11</v>
      </c>
      <c r="B12" s="4" t="s">
        <v>12</v>
      </c>
      <c r="C12" s="4" t="s">
        <v>13</v>
      </c>
    </row>
    <row r="13" customFormat="false" ht="15" hidden="false" customHeight="false" outlineLevel="0" collapsed="false">
      <c r="A13" s="7" t="s">
        <v>14</v>
      </c>
      <c r="B13" s="8" t="n">
        <f aca="false">MIN(Sensitivity!C7:E9)</f>
        <v>133.830464181519</v>
      </c>
      <c r="C13" s="8" t="n">
        <f aca="false">MAX(Sensitivity!C7:E9)</f>
        <v>182.866698068885</v>
      </c>
    </row>
    <row r="14" customFormat="false" ht="15" hidden="false" customHeight="false" outlineLevel="0" collapsed="false">
      <c r="A14" s="7" t="s">
        <v>15</v>
      </c>
      <c r="B14" s="8" t="n">
        <f aca="false">MIN(Sensitivity!C15:E17)</f>
        <v>129.358703566622</v>
      </c>
      <c r="C14" s="8" t="n">
        <f aca="false">MAX(Sensitivity!C15:E17)</f>
        <v>155.871267932739</v>
      </c>
    </row>
    <row r="16" customFormat="false" ht="15" hidden="false" customHeight="false" outlineLevel="0" collapsed="false">
      <c r="A16" s="12" t="s">
        <v>16</v>
      </c>
      <c r="B16" s="13"/>
      <c r="C16" s="13"/>
    </row>
    <row r="17" customFormat="false" ht="15" hidden="false" customHeight="false" outlineLevel="0" collapsed="false">
      <c r="A17" s="7" t="s">
        <v>17</v>
      </c>
      <c r="B17" s="14" t="n">
        <f aca="false">WACC</f>
        <v>0.083450487554326</v>
      </c>
    </row>
    <row r="18" customFormat="false" ht="15" hidden="false" customHeight="false" outlineLevel="0" collapsed="false">
      <c r="A18" s="7" t="s">
        <v>18</v>
      </c>
      <c r="B18" s="11" t="n">
        <f aca="false">TerminalGrowth</f>
        <v>0.025</v>
      </c>
    </row>
    <row r="19" customFormat="false" ht="15" hidden="false" customHeight="false" outlineLevel="0" collapsed="false">
      <c r="A19" s="7" t="s">
        <v>19</v>
      </c>
      <c r="B19" s="15" t="n">
        <f aca="false">ExitMultiple</f>
        <v>10</v>
      </c>
    </row>
    <row r="20" customFormat="false" ht="15" hidden="false" customHeight="false" outlineLevel="0" collapsed="false">
      <c r="A20" s="7" t="s">
        <v>20</v>
      </c>
      <c r="B20" s="11" t="n">
        <f aca="false">DCF!G6</f>
        <v>0.186836432882312</v>
      </c>
    </row>
    <row r="21" customFormat="false" ht="15" hidden="false" customHeight="false" outlineLevel="0" collapsed="false">
      <c r="A21" s="7" t="s">
        <v>21</v>
      </c>
      <c r="B21" s="11" t="n">
        <f aca="false">DCF!G8</f>
        <v>0.0788875456726085</v>
      </c>
    </row>
    <row r="22" customFormat="false" ht="15" hidden="false" customHeight="false" outlineLevel="0" collapsed="false">
      <c r="A22" s="7" t="s">
        <v>22</v>
      </c>
      <c r="B22" s="11" t="n">
        <f aca="false">TaxRate</f>
        <v>0.234012566919843</v>
      </c>
    </row>
    <row r="24" customFormat="false" ht="15" hidden="false" customHeight="false" outlineLevel="0" collapsed="false">
      <c r="A24" s="12" t="s">
        <v>23</v>
      </c>
      <c r="B24" s="13"/>
      <c r="C24" s="13"/>
    </row>
    <row r="25" customFormat="false" ht="15" hidden="false" customHeight="false" outlineLevel="0" collapsed="false">
      <c r="A25" s="7" t="s">
        <v>24</v>
      </c>
      <c r="B25" s="2" t="s">
        <v>25</v>
      </c>
    </row>
    <row r="26" customFormat="false" ht="15" hidden="false" customHeight="false" outlineLevel="0" collapsed="false">
      <c r="A26" s="7" t="s">
        <v>26</v>
      </c>
      <c r="B26" s="2" t="s">
        <v>27</v>
      </c>
    </row>
    <row r="27" customFormat="false" ht="15" hidden="false" customHeight="false" outlineLevel="0" collapsed="false">
      <c r="A27" s="7" t="s">
        <v>28</v>
      </c>
      <c r="B27" s="2" t="s">
        <v>29</v>
      </c>
    </row>
    <row r="28" customFormat="false" ht="15" hidden="false" customHeight="false" outlineLevel="0" collapsed="false">
      <c r="A28" s="7" t="s">
        <v>30</v>
      </c>
      <c r="B28" s="2" t="s">
        <v>31</v>
      </c>
    </row>
    <row r="29" customFormat="false" ht="15" hidden="false" customHeight="false" outlineLevel="0" collapsed="false">
      <c r="A29" s="7" t="s">
        <v>32</v>
      </c>
      <c r="B29" s="16" t="n">
        <f aca="false">ValuationDate</f>
        <v>46317</v>
      </c>
    </row>
    <row r="31" customFormat="false" ht="15" hidden="false" customHeight="false" outlineLevel="0" collapsed="false">
      <c r="A31" s="12" t="s">
        <v>33</v>
      </c>
      <c r="B31" s="13"/>
      <c r="C31" s="13"/>
    </row>
    <row r="32" customFormat="false" ht="15" hidden="false" customHeight="false" outlineLevel="0" collapsed="false">
      <c r="A32" s="7" t="s">
        <v>34</v>
      </c>
    </row>
    <row r="33" customFormat="false" ht="15" hidden="false" customHeight="false" outlineLevel="0" collapsed="false">
      <c r="A33" s="7" t="s">
        <v>35</v>
      </c>
    </row>
    <row r="34" customFormat="false" ht="15" hidden="false" customHeight="false" outlineLevel="0" collapsed="false">
      <c r="A34" s="7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96"/>
  </cols>
  <sheetData>
    <row r="1" customFormat="false" ht="17.35" hidden="false" customHeight="false" outlineLevel="0" collapsed="false">
      <c r="A1" s="17" t="s">
        <v>37</v>
      </c>
    </row>
    <row r="2" customFormat="false" ht="15" hidden="false" customHeight="false" outlineLevel="0" collapsed="false">
      <c r="A2" s="18" t="s">
        <v>38</v>
      </c>
    </row>
    <row r="4" customFormat="false" ht="15" hidden="false" customHeight="false" outlineLevel="0" collapsed="false">
      <c r="A4" s="3" t="s">
        <v>39</v>
      </c>
      <c r="B4" s="4" t="s">
        <v>40</v>
      </c>
      <c r="C4" s="19" t="s">
        <v>41</v>
      </c>
    </row>
    <row r="5" customFormat="false" ht="15" hidden="false" customHeight="false" outlineLevel="0" collapsed="false">
      <c r="A5" s="12" t="s">
        <v>42</v>
      </c>
      <c r="B5" s="13"/>
      <c r="C5" s="13"/>
    </row>
    <row r="6" customFormat="false" ht="15" hidden="false" customHeight="false" outlineLevel="0" collapsed="false">
      <c r="A6" s="7" t="s">
        <v>32</v>
      </c>
      <c r="B6" s="20" t="n">
        <v>46317</v>
      </c>
      <c r="C6" s="21" t="s">
        <v>43</v>
      </c>
    </row>
    <row r="7" customFormat="false" ht="15" hidden="false" customHeight="false" outlineLevel="0" collapsed="false">
      <c r="A7" s="7" t="s">
        <v>44</v>
      </c>
      <c r="B7" s="20" t="n">
        <v>46022</v>
      </c>
      <c r="C7" s="21" t="s">
        <v>45</v>
      </c>
    </row>
    <row r="8" customFormat="false" ht="15" hidden="false" customHeight="false" outlineLevel="0" collapsed="false">
      <c r="A8" s="7" t="s">
        <v>46</v>
      </c>
      <c r="B8" s="22" t="n">
        <f aca="false">MAX(0,MIN(1,(ValuationDate-LastFYE)/365.25))</f>
        <v>0.80766598220397</v>
      </c>
      <c r="C8" s="21" t="s">
        <v>47</v>
      </c>
    </row>
    <row r="9" customFormat="false" ht="15" hidden="false" customHeight="false" outlineLevel="0" collapsed="false">
      <c r="A9" s="7" t="s">
        <v>48</v>
      </c>
      <c r="B9" s="23" t="n">
        <v>1</v>
      </c>
      <c r="C9" s="21" t="s">
        <v>49</v>
      </c>
    </row>
    <row r="10" customFormat="false" ht="15" hidden="false" customHeight="false" outlineLevel="0" collapsed="false">
      <c r="A10" s="7" t="s">
        <v>6</v>
      </c>
      <c r="B10" s="24" t="n">
        <v>178.35</v>
      </c>
      <c r="C10" s="21" t="s">
        <v>50</v>
      </c>
    </row>
    <row r="11" customFormat="false" ht="15" hidden="false" customHeight="false" outlineLevel="0" collapsed="false">
      <c r="A11" s="7" t="s">
        <v>51</v>
      </c>
      <c r="B11" s="10" t="n">
        <f aca="false">Historicals!B50</f>
        <v>58.282434</v>
      </c>
      <c r="C11" s="21" t="s">
        <v>52</v>
      </c>
    </row>
    <row r="12" customFormat="false" ht="15" hidden="false" customHeight="false" outlineLevel="0" collapsed="false">
      <c r="A12" s="12" t="s">
        <v>53</v>
      </c>
      <c r="B12" s="13"/>
      <c r="C12" s="13"/>
    </row>
    <row r="13" customFormat="false" ht="15" hidden="false" customHeight="false" outlineLevel="0" collapsed="false">
      <c r="A13" s="7" t="s">
        <v>22</v>
      </c>
      <c r="B13" s="25" t="n">
        <v>0.234012566919843</v>
      </c>
      <c r="C13" s="21" t="s">
        <v>54</v>
      </c>
    </row>
    <row r="14" customFormat="false" ht="15" hidden="false" customHeight="false" outlineLevel="0" collapsed="false">
      <c r="A14" s="12" t="s">
        <v>55</v>
      </c>
      <c r="B14" s="13"/>
      <c r="C14" s="13"/>
    </row>
    <row r="15" customFormat="false" ht="15" hidden="false" customHeight="false" outlineLevel="0" collapsed="false">
      <c r="A15" s="7" t="s">
        <v>56</v>
      </c>
      <c r="B15" s="25" t="n">
        <v>0.025</v>
      </c>
      <c r="C15" s="21" t="s">
        <v>57</v>
      </c>
    </row>
    <row r="16" customFormat="false" ht="15" hidden="false" customHeight="false" outlineLevel="0" collapsed="false">
      <c r="A16" s="7" t="s">
        <v>19</v>
      </c>
      <c r="B16" s="26" t="n">
        <v>10</v>
      </c>
      <c r="C16" s="21" t="s">
        <v>58</v>
      </c>
    </row>
    <row r="17" customFormat="false" ht="15" hidden="false" customHeight="false" outlineLevel="0" collapsed="false">
      <c r="A17" s="12" t="s">
        <v>59</v>
      </c>
      <c r="B17" s="13"/>
      <c r="C17" s="13"/>
    </row>
    <row r="18" customFormat="false" ht="15" hidden="false" customHeight="false" outlineLevel="0" collapsed="false">
      <c r="A18" s="7" t="s">
        <v>60</v>
      </c>
      <c r="B18" s="27" t="n">
        <v>0.051</v>
      </c>
      <c r="C18" s="21" t="s">
        <v>61</v>
      </c>
    </row>
    <row r="19" customFormat="false" ht="15" hidden="false" customHeight="false" outlineLevel="0" collapsed="false">
      <c r="A19" s="7" t="s">
        <v>62</v>
      </c>
      <c r="B19" s="25" t="n">
        <v>0.05</v>
      </c>
      <c r="C19" s="21" t="s">
        <v>63</v>
      </c>
    </row>
    <row r="20" customFormat="false" ht="15" hidden="false" customHeight="false" outlineLevel="0" collapsed="false">
      <c r="A20" s="7" t="s">
        <v>64</v>
      </c>
      <c r="B20" s="28" t="n">
        <v>0.66</v>
      </c>
      <c r="C20" s="21" t="s">
        <v>50</v>
      </c>
    </row>
    <row r="21" customFormat="false" ht="15" hidden="false" customHeight="false" outlineLevel="0" collapsed="false">
      <c r="A21" s="7" t="s">
        <v>65</v>
      </c>
      <c r="B21" s="25" t="n">
        <v>0.0555828088523347</v>
      </c>
      <c r="C21" s="21" t="s">
        <v>66</v>
      </c>
    </row>
    <row r="22" customFormat="false" ht="15" hidden="false" customHeight="false" outlineLevel="0" collapsed="false">
      <c r="A22" s="7" t="s">
        <v>67</v>
      </c>
      <c r="B22" s="25" t="n">
        <v>0.0229147426748384</v>
      </c>
      <c r="C22" s="21" t="s">
        <v>68</v>
      </c>
    </row>
    <row r="24" customFormat="false" ht="15" hidden="false" customHeight="false" outlineLevel="0" collapsed="false">
      <c r="A24" s="18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3"/>
  </cols>
  <sheetData>
    <row r="1" customFormat="false" ht="17.35" hidden="false" customHeight="false" outlineLevel="0" collapsed="false">
      <c r="A1" s="17" t="s">
        <v>70</v>
      </c>
    </row>
    <row r="2" customFormat="false" ht="15" hidden="false" customHeight="false" outlineLevel="0" collapsed="false">
      <c r="A2" s="18" t="s">
        <v>71</v>
      </c>
    </row>
    <row r="4" customFormat="false" ht="15" hidden="false" customHeight="false" outlineLevel="0" collapsed="false">
      <c r="A4" s="3" t="s">
        <v>72</v>
      </c>
      <c r="B4" s="4" t="s">
        <v>73</v>
      </c>
      <c r="C4" s="4" t="s">
        <v>74</v>
      </c>
      <c r="D4" s="4" t="s">
        <v>75</v>
      </c>
      <c r="E4" s="4" t="s">
        <v>76</v>
      </c>
      <c r="F4" s="4" t="s">
        <v>77</v>
      </c>
    </row>
    <row r="5" customFormat="false" ht="15" hidden="false" customHeight="false" outlineLevel="0" collapsed="false">
      <c r="A5" s="2" t="s">
        <v>78</v>
      </c>
      <c r="B5" s="29" t="n">
        <v>44561</v>
      </c>
      <c r="C5" s="29" t="n">
        <v>44926</v>
      </c>
      <c r="D5" s="29" t="n">
        <v>45291</v>
      </c>
      <c r="E5" s="29" t="n">
        <v>45657</v>
      </c>
      <c r="F5" s="29" t="n">
        <v>46022</v>
      </c>
    </row>
    <row r="6" customFormat="false" ht="15" hidden="false" customHeight="false" outlineLevel="0" collapsed="false">
      <c r="A6" s="12" t="s">
        <v>79</v>
      </c>
      <c r="B6" s="13"/>
      <c r="C6" s="13"/>
      <c r="D6" s="13"/>
      <c r="E6" s="13"/>
      <c r="F6" s="13"/>
    </row>
    <row r="7" customFormat="false" ht="15" hidden="false" customHeight="false" outlineLevel="0" collapsed="false">
      <c r="A7" s="5" t="s">
        <v>80</v>
      </c>
      <c r="B7" s="30" t="n">
        <v>2627.461</v>
      </c>
      <c r="C7" s="30" t="n">
        <v>3025.468</v>
      </c>
      <c r="D7" s="30" t="n">
        <v>3729.355</v>
      </c>
      <c r="E7" s="30" t="n">
        <v>4260.485</v>
      </c>
      <c r="F7" s="30" t="n">
        <v>5057.841</v>
      </c>
    </row>
    <row r="8" customFormat="false" ht="15" hidden="false" customHeight="false" outlineLevel="0" collapsed="false">
      <c r="A8" s="7" t="s">
        <v>81</v>
      </c>
      <c r="B8" s="30" t="n">
        <v>2019.879</v>
      </c>
      <c r="C8" s="30" t="n">
        <v>2354.434</v>
      </c>
      <c r="D8" s="30" t="n">
        <v>2941.238</v>
      </c>
      <c r="E8" s="30" t="n">
        <v>3376.884</v>
      </c>
      <c r="F8" s="30" t="n">
        <v>4019.076</v>
      </c>
    </row>
    <row r="9" customFormat="false" ht="15" hidden="false" customHeight="false" outlineLevel="0" collapsed="false">
      <c r="A9" s="7" t="s">
        <v>82</v>
      </c>
      <c r="B9" s="31" t="n">
        <f aca="false">B7-B8</f>
        <v>607.582</v>
      </c>
      <c r="C9" s="31" t="n">
        <f aca="false">C7-C8</f>
        <v>671.034</v>
      </c>
      <c r="D9" s="31" t="n">
        <f aca="false">D7-D8</f>
        <v>788.117</v>
      </c>
      <c r="E9" s="31" t="n">
        <f aca="false">E7-E8</f>
        <v>883.601</v>
      </c>
      <c r="F9" s="31" t="n">
        <f aca="false">F7-F8</f>
        <v>1038.765</v>
      </c>
    </row>
    <row r="10" customFormat="false" ht="15" hidden="false" customHeight="false" outlineLevel="0" collapsed="false">
      <c r="A10" s="7" t="s">
        <v>83</v>
      </c>
    </row>
    <row r="11" customFormat="false" ht="15" hidden="false" customHeight="false" outlineLevel="0" collapsed="false">
      <c r="A11" s="7" t="s">
        <v>84</v>
      </c>
      <c r="B11" s="30" t="n">
        <v>151.761</v>
      </c>
      <c r="C11" s="30" t="n">
        <v>158.805</v>
      </c>
      <c r="D11" s="30" t="n">
        <v>263.005</v>
      </c>
      <c r="E11" s="30" t="n">
        <v>225.143</v>
      </c>
      <c r="F11" s="30" t="n">
        <v>269.82</v>
      </c>
    </row>
    <row r="12" customFormat="false" ht="15" hidden="false" customHeight="false" outlineLevel="0" collapsed="false">
      <c r="A12" s="5" t="s">
        <v>85</v>
      </c>
      <c r="B12" s="30" t="n">
        <v>260.465</v>
      </c>
      <c r="C12" s="30" t="n">
        <v>296.825</v>
      </c>
      <c r="D12" s="30" t="n">
        <v>255.367</v>
      </c>
      <c r="E12" s="30" t="n">
        <v>358.304</v>
      </c>
      <c r="F12" s="30" t="n">
        <v>425.306</v>
      </c>
    </row>
    <row r="13" customFormat="false" ht="15" hidden="false" customHeight="false" outlineLevel="0" collapsed="false">
      <c r="A13" s="7" t="s">
        <v>86</v>
      </c>
      <c r="B13" s="30" t="n">
        <v>6.849</v>
      </c>
      <c r="C13" s="30" t="n">
        <v>8.931</v>
      </c>
      <c r="D13" s="30" t="n">
        <v>8.087</v>
      </c>
      <c r="E13" s="30" t="n">
        <v>8.286</v>
      </c>
      <c r="F13" s="30" t="n">
        <v>7.988</v>
      </c>
    </row>
    <row r="14" customFormat="false" ht="15" hidden="false" customHeight="false" outlineLevel="0" collapsed="false">
      <c r="A14" s="7" t="s">
        <v>87</v>
      </c>
      <c r="B14" s="30" t="n">
        <v>258.004</v>
      </c>
      <c r="C14" s="30" t="n">
        <v>289.089</v>
      </c>
      <c r="D14" s="30" t="n">
        <v>272.762</v>
      </c>
      <c r="E14" s="30" t="n">
        <v>386.094</v>
      </c>
      <c r="F14" s="30" t="n">
        <v>455.622</v>
      </c>
    </row>
    <row r="15" customFormat="false" ht="15" hidden="false" customHeight="false" outlineLevel="0" collapsed="false">
      <c r="A15" s="7" t="s">
        <v>88</v>
      </c>
      <c r="B15" s="30" t="n">
        <v>60.279</v>
      </c>
      <c r="C15" s="30" t="n">
        <v>64.437</v>
      </c>
      <c r="D15" s="30" t="n">
        <v>62.912</v>
      </c>
      <c r="E15" s="30" t="n">
        <v>87.636</v>
      </c>
      <c r="F15" s="30" t="n">
        <v>111.358</v>
      </c>
    </row>
    <row r="16" customFormat="false" ht="15" hidden="false" customHeight="false" outlineLevel="0" collapsed="false">
      <c r="A16" s="7" t="s">
        <v>89</v>
      </c>
      <c r="B16" s="30" t="n">
        <v>194.652</v>
      </c>
      <c r="C16" s="30" t="n">
        <v>224.681</v>
      </c>
      <c r="D16" s="30" t="n">
        <v>209.399</v>
      </c>
      <c r="E16" s="30" t="n">
        <v>297.973</v>
      </c>
      <c r="F16" s="30" t="n">
        <v>343.971</v>
      </c>
    </row>
    <row r="17" customFormat="false" ht="15" hidden="false" customHeight="false" outlineLevel="0" collapsed="false">
      <c r="A17" s="7" t="s">
        <v>90</v>
      </c>
      <c r="B17" s="32" t="n">
        <v>3.42</v>
      </c>
      <c r="C17" s="32" t="n">
        <v>3.95</v>
      </c>
      <c r="D17" s="32" t="n">
        <v>3.65</v>
      </c>
      <c r="E17" s="32" t="n">
        <v>5.12</v>
      </c>
      <c r="F17" s="32" t="n">
        <v>5.84</v>
      </c>
    </row>
    <row r="18" customFormat="false" ht="15" hidden="false" customHeight="false" outlineLevel="0" collapsed="false">
      <c r="A18" s="7" t="s">
        <v>91</v>
      </c>
      <c r="B18" s="30" t="n">
        <v>56.925</v>
      </c>
      <c r="C18" s="30" t="n">
        <v>56.871</v>
      </c>
      <c r="D18" s="30" t="n">
        <v>57.323</v>
      </c>
      <c r="E18" s="30" t="n">
        <v>58.24</v>
      </c>
      <c r="F18" s="30" t="n">
        <v>58.873</v>
      </c>
    </row>
    <row r="19" customFormat="false" ht="15" hidden="false" customHeight="false" outlineLevel="0" collapsed="false">
      <c r="A19" s="12" t="s">
        <v>92</v>
      </c>
      <c r="B19" s="13"/>
      <c r="C19" s="13"/>
      <c r="D19" s="13"/>
      <c r="E19" s="13"/>
      <c r="F19" s="13"/>
    </row>
    <row r="20" customFormat="false" ht="15" hidden="false" customHeight="false" outlineLevel="0" collapsed="false">
      <c r="A20" s="7" t="s">
        <v>93</v>
      </c>
      <c r="B20" s="30" t="n">
        <v>275.684</v>
      </c>
      <c r="C20" s="30" t="n">
        <v>272.513</v>
      </c>
      <c r="D20" s="30" t="n">
        <v>376.666</v>
      </c>
      <c r="E20" s="30" t="n">
        <v>347.186</v>
      </c>
      <c r="F20" s="30" t="n">
        <v>564.27</v>
      </c>
    </row>
    <row r="21" customFormat="false" ht="15" hidden="false" customHeight="false" outlineLevel="0" collapsed="false">
      <c r="A21" s="7" t="s">
        <v>94</v>
      </c>
      <c r="B21" s="30" t="n">
        <v>55.985</v>
      </c>
      <c r="C21" s="30" t="n">
        <v>62.355</v>
      </c>
      <c r="D21" s="30" t="n">
        <v>72.387</v>
      </c>
      <c r="E21" s="30" t="n">
        <v>84.138</v>
      </c>
      <c r="F21" s="30" t="n">
        <v>104.327</v>
      </c>
    </row>
    <row r="22" customFormat="false" ht="15" hidden="false" customHeight="false" outlineLevel="0" collapsed="false">
      <c r="A22" s="7" t="s">
        <v>95</v>
      </c>
    </row>
    <row r="23" customFormat="false" ht="15" hidden="false" customHeight="false" outlineLevel="0" collapsed="false">
      <c r="A23" s="7" t="s">
        <v>96</v>
      </c>
      <c r="B23" s="30" t="n">
        <v>18.678</v>
      </c>
      <c r="C23" s="30" t="n">
        <v>22.72</v>
      </c>
      <c r="D23" s="30" t="n">
        <v>30.767</v>
      </c>
      <c r="E23" s="30" t="n">
        <v>36.226</v>
      </c>
      <c r="F23" s="30" t="n">
        <v>48.299</v>
      </c>
    </row>
    <row r="24" customFormat="false" ht="15" hidden="false" customHeight="false" outlineLevel="0" collapsed="false">
      <c r="A24" s="7" t="s">
        <v>97</v>
      </c>
      <c r="B24" s="30" t="n">
        <v>11.548</v>
      </c>
      <c r="C24" s="30" t="n">
        <v>12.168</v>
      </c>
      <c r="D24" s="30" t="n">
        <v>12.89</v>
      </c>
      <c r="E24" s="30" t="n">
        <v>13.671</v>
      </c>
      <c r="F24" s="30" t="n">
        <v>14.41</v>
      </c>
    </row>
    <row r="25" customFormat="false" ht="15" hidden="false" customHeight="false" outlineLevel="0" collapsed="false">
      <c r="A25" s="7" t="s">
        <v>98</v>
      </c>
      <c r="B25" s="30" t="n">
        <v>10.118</v>
      </c>
      <c r="C25" s="30" t="n">
        <v>29.882</v>
      </c>
      <c r="D25" s="30" t="n">
        <v>0</v>
      </c>
      <c r="E25" s="30" t="n">
        <v>0</v>
      </c>
      <c r="F25" s="30" t="n">
        <v>20</v>
      </c>
    </row>
    <row r="26" customFormat="false" ht="15" hidden="false" customHeight="false" outlineLevel="0" collapsed="false">
      <c r="A26" s="12" t="s">
        <v>99</v>
      </c>
      <c r="B26" s="13"/>
      <c r="C26" s="13"/>
      <c r="D26" s="13"/>
      <c r="E26" s="13"/>
      <c r="F26" s="13"/>
    </row>
    <row r="27" customFormat="false" ht="15" hidden="false" customHeight="false" outlineLevel="0" collapsed="false">
      <c r="A27" s="7" t="s">
        <v>100</v>
      </c>
      <c r="B27" s="30" t="n">
        <v>262.201</v>
      </c>
      <c r="C27" s="30" t="n">
        <v>316.27</v>
      </c>
      <c r="D27" s="30" t="n">
        <v>509.626</v>
      </c>
      <c r="E27" s="30" t="n">
        <v>464.598</v>
      </c>
      <c r="F27" s="30" t="n">
        <v>503.881</v>
      </c>
    </row>
    <row r="28" customFormat="false" ht="15" hidden="false" customHeight="false" outlineLevel="0" collapsed="false">
      <c r="A28" s="7" t="s">
        <v>101</v>
      </c>
      <c r="B28" s="30" t="n">
        <v>13.763</v>
      </c>
      <c r="C28" s="30" t="n">
        <v>15.441</v>
      </c>
      <c r="D28" s="30" t="n">
        <v>17.229</v>
      </c>
      <c r="E28" s="30" t="n">
        <v>62.255</v>
      </c>
      <c r="F28" s="30" t="n">
        <v>68.506</v>
      </c>
    </row>
    <row r="29" customFormat="false" ht="15" hidden="false" customHeight="false" outlineLevel="0" collapsed="false">
      <c r="A29" s="7" t="s">
        <v>102</v>
      </c>
      <c r="B29" s="30" t="n">
        <v>639.709</v>
      </c>
      <c r="C29" s="30" t="n">
        <v>781.125</v>
      </c>
      <c r="D29" s="30" t="n">
        <v>1046.93</v>
      </c>
      <c r="E29" s="30" t="n">
        <v>1157.632</v>
      </c>
      <c r="F29" s="30" t="n">
        <v>1272.304</v>
      </c>
    </row>
    <row r="30" customFormat="false" ht="15" hidden="false" customHeight="false" outlineLevel="0" collapsed="false">
      <c r="A30" s="7" t="s">
        <v>103</v>
      </c>
      <c r="B30" s="30" t="n">
        <v>523.068</v>
      </c>
      <c r="C30" s="30" t="n">
        <v>582.072</v>
      </c>
      <c r="D30" s="30" t="n">
        <v>734.747</v>
      </c>
      <c r="E30" s="30" t="n">
        <v>743.428</v>
      </c>
      <c r="F30" s="30" t="n">
        <v>894.346</v>
      </c>
    </row>
    <row r="31" customFormat="false" ht="15" hidden="false" customHeight="false" outlineLevel="0" collapsed="false">
      <c r="A31" s="7" t="s">
        <v>104</v>
      </c>
      <c r="B31" s="30" t="n">
        <v>3.76</v>
      </c>
      <c r="C31" s="30" t="n">
        <v>3.883</v>
      </c>
      <c r="D31" s="30" t="n">
        <v>3.95</v>
      </c>
      <c r="E31" s="30" t="n">
        <v>4.086</v>
      </c>
      <c r="F31" s="30" t="n">
        <v>4.227</v>
      </c>
    </row>
    <row r="32" customFormat="false" ht="15" hidden="false" customHeight="false" outlineLevel="0" collapsed="false">
      <c r="A32" s="7" t="s">
        <v>105</v>
      </c>
      <c r="B32" s="30" t="n">
        <v>152.883</v>
      </c>
      <c r="C32" s="30" t="n">
        <v>149.269</v>
      </c>
      <c r="D32" s="30" t="n">
        <v>145.497</v>
      </c>
      <c r="E32" s="30" t="n">
        <v>141.585</v>
      </c>
      <c r="F32" s="30" t="n">
        <v>137.529</v>
      </c>
    </row>
    <row r="33" customFormat="false" ht="15" hidden="false" customHeight="false" outlineLevel="0" collapsed="false">
      <c r="A33" s="5" t="s">
        <v>106</v>
      </c>
      <c r="B33" s="33" t="n">
        <f aca="false">IF(AND(B31="",B32=""),"",N(B31)+N(B32))</f>
        <v>156.643</v>
      </c>
      <c r="C33" s="33" t="n">
        <f aca="false">IF(AND(C31="",C32=""),"",N(C31)+N(C32))</f>
        <v>153.152</v>
      </c>
      <c r="D33" s="33" t="n">
        <f aca="false">IF(AND(D31="",D32=""),"",N(D31)+N(D32))</f>
        <v>149.447</v>
      </c>
      <c r="E33" s="33" t="n">
        <f aca="false">IF(AND(E31="",E32=""),"",N(E31)+N(E32))</f>
        <v>145.671</v>
      </c>
      <c r="F33" s="33" t="n">
        <f aca="false">IF(AND(F31="",F32=""),"",N(F31)+N(F32))</f>
        <v>141.756</v>
      </c>
    </row>
    <row r="34" customFormat="false" ht="15" hidden="false" customHeight="false" outlineLevel="0" collapsed="false">
      <c r="A34" s="7" t="s">
        <v>107</v>
      </c>
      <c r="B34" s="30" t="n">
        <v>2850.623</v>
      </c>
      <c r="C34" s="30" t="n">
        <v>3452.022</v>
      </c>
      <c r="D34" s="30" t="n">
        <v>4177.541</v>
      </c>
      <c r="E34" s="30" t="n">
        <v>4669.356</v>
      </c>
      <c r="F34" s="30" t="n">
        <v>5462.97</v>
      </c>
    </row>
    <row r="35" customFormat="false" ht="15" hidden="false" customHeight="false" outlineLevel="0" collapsed="false">
      <c r="A35" s="7" t="s">
        <v>108</v>
      </c>
      <c r="B35" s="30" t="n">
        <v>1828.909</v>
      </c>
      <c r="C35" s="30" t="n">
        <v>2203.222</v>
      </c>
      <c r="D35" s="30" t="n">
        <v>2680.224</v>
      </c>
      <c r="E35" s="30" t="n">
        <v>2828.928</v>
      </c>
      <c r="F35" s="30" t="n">
        <v>3228.146</v>
      </c>
    </row>
    <row r="36" customFormat="false" ht="15" hidden="false" customHeight="false" outlineLevel="0" collapsed="false">
      <c r="A36" s="7" t="s">
        <v>109</v>
      </c>
      <c r="B36" s="30" t="n">
        <v>1020.768</v>
      </c>
      <c r="C36" s="30" t="n">
        <v>1247.332</v>
      </c>
      <c r="D36" s="30" t="n">
        <v>1491.865</v>
      </c>
      <c r="E36" s="30" t="n">
        <v>1837.111</v>
      </c>
      <c r="F36" s="30" t="n">
        <v>2231.725</v>
      </c>
    </row>
    <row r="37" customFormat="false" ht="15" hidden="false" customHeight="false" outlineLevel="0" collapsed="false">
      <c r="A37" s="7" t="s">
        <v>110</v>
      </c>
      <c r="B37" s="30" t="n">
        <v>0.946</v>
      </c>
      <c r="C37" s="30" t="n">
        <v>1.468</v>
      </c>
      <c r="D37" s="30" t="n">
        <v>5.452</v>
      </c>
      <c r="E37" s="30" t="n">
        <v>3.317</v>
      </c>
      <c r="F37" s="30" t="n">
        <v>3.099</v>
      </c>
    </row>
    <row r="38" customFormat="false" ht="15" hidden="false" customHeight="false" outlineLevel="0" collapsed="false">
      <c r="A38" s="5" t="s">
        <v>111</v>
      </c>
      <c r="B38" s="33" t="n">
        <f aca="false">IF(OR(B29="",B30=""),"",(B29-N(B27)-N(B28))-(B30-N(B31)))</f>
        <v>-155.563</v>
      </c>
      <c r="C38" s="33" t="n">
        <f aca="false">IF(OR(C29="",C30=""),"",(C29-N(C27)-N(C28))-(C30-N(C31)))</f>
        <v>-128.775</v>
      </c>
      <c r="D38" s="33" t="n">
        <f aca="false">IF(OR(D29="",D30=""),"",(D29-N(D27)-N(D28))-(D30-N(D31)))</f>
        <v>-210.722</v>
      </c>
      <c r="E38" s="33" t="n">
        <f aca="false">IF(OR(E29="",E30=""),"",(E29-N(E27)-N(E28))-(E30-N(E31)))</f>
        <v>-108.563</v>
      </c>
      <c r="F38" s="33" t="n">
        <f aca="false">IF(OR(F29="",F30=""),"",(F29-N(F27)-N(F28))-(F30-N(F31)))</f>
        <v>-190.202</v>
      </c>
    </row>
    <row r="40" customFormat="false" ht="15" hidden="false" customHeight="false" outlineLevel="0" collapsed="false">
      <c r="A40" s="12" t="s">
        <v>112</v>
      </c>
      <c r="B40" s="13"/>
      <c r="C40" s="13"/>
      <c r="D40" s="13"/>
      <c r="E40" s="13"/>
      <c r="F40" s="13"/>
    </row>
    <row r="41" customFormat="false" ht="15" hidden="false" customHeight="false" outlineLevel="0" collapsed="false">
      <c r="A41" s="7" t="s">
        <v>113</v>
      </c>
      <c r="B41" s="20" t="n">
        <v>46203</v>
      </c>
      <c r="C41" s="2" t="s">
        <v>114</v>
      </c>
    </row>
    <row r="42" customFormat="false" ht="15" hidden="false" customHeight="false" outlineLevel="0" collapsed="false">
      <c r="A42" s="7" t="s">
        <v>100</v>
      </c>
      <c r="B42" s="30" t="n">
        <v>262.3</v>
      </c>
    </row>
    <row r="43" customFormat="false" ht="15" hidden="false" customHeight="false" outlineLevel="0" collapsed="false">
      <c r="A43" s="7" t="s">
        <v>101</v>
      </c>
      <c r="B43" s="30" t="n">
        <v>58.544</v>
      </c>
    </row>
    <row r="44" customFormat="false" ht="15" hidden="false" customHeight="false" outlineLevel="0" collapsed="false">
      <c r="A44" s="7" t="s">
        <v>115</v>
      </c>
    </row>
    <row r="45" customFormat="false" ht="15" hidden="false" customHeight="false" outlineLevel="0" collapsed="false">
      <c r="A45" s="7" t="s">
        <v>104</v>
      </c>
      <c r="B45" s="30" t="n">
        <v>4.182</v>
      </c>
    </row>
    <row r="46" customFormat="false" ht="15" hidden="false" customHeight="false" outlineLevel="0" collapsed="false">
      <c r="A46" s="7" t="s">
        <v>105</v>
      </c>
      <c r="B46" s="30" t="n">
        <v>135.562</v>
      </c>
    </row>
    <row r="47" customFormat="false" ht="15" hidden="false" customHeight="false" outlineLevel="0" collapsed="false">
      <c r="A47" s="5" t="s">
        <v>106</v>
      </c>
      <c r="B47" s="33" t="n">
        <f aca="false">N(B45)+N(B46)</f>
        <v>139.744</v>
      </c>
    </row>
    <row r="48" customFormat="false" ht="15" hidden="false" customHeight="false" outlineLevel="0" collapsed="false">
      <c r="A48" s="5" t="s">
        <v>116</v>
      </c>
      <c r="B48" s="33" t="n">
        <f aca="false">N(B42)+N(B43)+N(B44)</f>
        <v>320.844</v>
      </c>
    </row>
    <row r="49" customFormat="false" ht="15" hidden="false" customHeight="false" outlineLevel="0" collapsed="false">
      <c r="A49" s="7" t="s">
        <v>110</v>
      </c>
      <c r="B49" s="30" t="n">
        <v>3.621</v>
      </c>
    </row>
    <row r="50" customFormat="false" ht="15" hidden="false" customHeight="false" outlineLevel="0" collapsed="false">
      <c r="A50" s="7" t="s">
        <v>51</v>
      </c>
      <c r="B50" s="30" t="n">
        <v>58.282434</v>
      </c>
      <c r="C50" s="2" t="s">
        <v>117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1" min="2" style="0" width="13"/>
  </cols>
  <sheetData>
    <row r="1" customFormat="false" ht="17.35" hidden="false" customHeight="false" outlineLevel="0" collapsed="false">
      <c r="A1" s="17" t="s">
        <v>118</v>
      </c>
    </row>
    <row r="2" customFormat="false" ht="15" hidden="false" customHeight="false" outlineLevel="0" collapsed="false">
      <c r="A2" s="18" t="s">
        <v>119</v>
      </c>
    </row>
    <row r="4" customFormat="false" ht="15" hidden="false" customHeight="false" outlineLevel="0" collapsed="false">
      <c r="A4" s="3" t="s">
        <v>72</v>
      </c>
      <c r="B4" s="4" t="s">
        <v>120</v>
      </c>
      <c r="C4" s="4" t="s">
        <v>121</v>
      </c>
      <c r="D4" s="4" t="s">
        <v>122</v>
      </c>
      <c r="E4" s="4" t="s">
        <v>123</v>
      </c>
      <c r="F4" s="4" t="s">
        <v>124</v>
      </c>
      <c r="G4" s="4" t="s">
        <v>125</v>
      </c>
      <c r="H4" s="4" t="s">
        <v>126</v>
      </c>
      <c r="I4" s="4" t="s">
        <v>127</v>
      </c>
      <c r="J4" s="4" t="s">
        <v>128</v>
      </c>
      <c r="K4" s="4" t="s">
        <v>129</v>
      </c>
    </row>
    <row r="5" customFormat="false" ht="15" hidden="false" customHeight="false" outlineLevel="0" collapsed="false">
      <c r="A5" s="5" t="s">
        <v>80</v>
      </c>
      <c r="B5" s="34" t="n">
        <f aca="false">IF(Historicals!B7="","",Historicals!B7)</f>
        <v>2627.461</v>
      </c>
      <c r="C5" s="34" t="n">
        <f aca="false">IF(Historicals!C7="","",Historicals!C7)</f>
        <v>3025.468</v>
      </c>
      <c r="D5" s="34" t="n">
        <f aca="false">IF(Historicals!D7="","",Historicals!D7)</f>
        <v>3729.355</v>
      </c>
      <c r="E5" s="34" t="n">
        <f aca="false">IF(Historicals!E7="","",Historicals!E7)</f>
        <v>4260.485</v>
      </c>
      <c r="F5" s="34" t="n">
        <f aca="false">IF(Historicals!F7="","",Historicals!F7)</f>
        <v>5057.841</v>
      </c>
      <c r="G5" s="33" t="n">
        <f aca="false">F5*(1+G6)</f>
        <v>6002.82997052591</v>
      </c>
      <c r="H5" s="33" t="n">
        <f aca="false">G5*(1+H6)</f>
        <v>6930.08199149221</v>
      </c>
      <c r="I5" s="33" t="n">
        <f aca="false">H5*(1+I6)</f>
        <v>7776.25789073055</v>
      </c>
      <c r="J5" s="33" t="n">
        <f aca="false">I5*(1+J6)</f>
        <v>8474.05707328232</v>
      </c>
      <c r="K5" s="33" t="n">
        <f aca="false">J5*(1+K6)</f>
        <v>8960.1907338706</v>
      </c>
    </row>
    <row r="6" customFormat="false" ht="15" hidden="false" customHeight="false" outlineLevel="0" collapsed="false">
      <c r="A6" s="7" t="s">
        <v>130</v>
      </c>
      <c r="C6" s="35" t="n">
        <f aca="false">IF(OR(B5="",C5="",N(B5)=0),"",C5/B5-1)</f>
        <v>0.151479698461747</v>
      </c>
      <c r="D6" s="35" t="n">
        <f aca="false">IF(OR(C5="",D5="",N(C5)=0),"",D5/C5-1)</f>
        <v>0.232653923293851</v>
      </c>
      <c r="E6" s="35" t="n">
        <f aca="false">IF(OR(D5="",E5="",N(D5)=0),"",E5/D5-1)</f>
        <v>0.142418729244065</v>
      </c>
      <c r="F6" s="35" t="n">
        <f aca="false">IF(OR(E5="",F5="",N(E5)=0),"",F5/E5-1)</f>
        <v>0.187151462802944</v>
      </c>
      <c r="G6" s="25" t="n">
        <v>0.186836432882312</v>
      </c>
      <c r="H6" s="25" t="n">
        <v>0.15446914630585</v>
      </c>
      <c r="I6" s="25" t="n">
        <v>0.122101859729387</v>
      </c>
      <c r="J6" s="25" t="n">
        <v>0.0897345731529248</v>
      </c>
      <c r="K6" s="25" t="n">
        <v>0.0573672865764624</v>
      </c>
    </row>
    <row r="7" customFormat="false" ht="15" hidden="false" customHeight="false" outlineLevel="0" collapsed="false">
      <c r="A7" s="5" t="s">
        <v>85</v>
      </c>
      <c r="B7" s="34" t="n">
        <f aca="false">IF(Historicals!B12="","",Historicals!B12)</f>
        <v>260.465</v>
      </c>
      <c r="C7" s="34" t="n">
        <f aca="false">IF(Historicals!C12="","",Historicals!C12)</f>
        <v>296.825</v>
      </c>
      <c r="D7" s="34" t="n">
        <f aca="false">IF(Historicals!D12="","",Historicals!D12)</f>
        <v>255.367</v>
      </c>
      <c r="E7" s="34" t="n">
        <f aca="false">IF(Historicals!E12="","",Historicals!E12)</f>
        <v>358.304</v>
      </c>
      <c r="F7" s="34" t="n">
        <f aca="false">IF(Historicals!F12="","",Historicals!F12)</f>
        <v>425.306</v>
      </c>
      <c r="G7" s="33" t="n">
        <f aca="false">G5*G8</f>
        <v>473.548523464766</v>
      </c>
      <c r="H7" s="33" t="n">
        <f aca="false">H5*H8</f>
        <v>546.697159618764</v>
      </c>
      <c r="I7" s="33" t="n">
        <f aca="false">I5*I8</f>
        <v>613.449899516988</v>
      </c>
      <c r="J7" s="33" t="n">
        <f aca="false">J5*J8</f>
        <v>668.49756440085</v>
      </c>
      <c r="K7" s="33" t="n">
        <f aca="false">K5*K8</f>
        <v>706.847455753501</v>
      </c>
    </row>
    <row r="8" customFormat="false" ht="15" hidden="false" customHeight="false" outlineLevel="0" collapsed="false">
      <c r="A8" s="7" t="s">
        <v>131</v>
      </c>
      <c r="B8" s="35" t="n">
        <f aca="false">IF(OR(B5="",B7="",N(B5)=0),"",B7/B5)</f>
        <v>0.0991318234599867</v>
      </c>
      <c r="C8" s="35" t="n">
        <f aca="false">IF(OR(C5="",C7="",N(C5)=0),"",C7/C5)</f>
        <v>0.0981087884585129</v>
      </c>
      <c r="D8" s="35" t="n">
        <f aca="false">IF(OR(D5="",D7="",N(D5)=0),"",D7/D5)</f>
        <v>0.0684748435051101</v>
      </c>
      <c r="E8" s="35" t="n">
        <f aca="false">IF(OR(E5="",E7="",N(E5)=0),"",E7/E5)</f>
        <v>0.0840993454970502</v>
      </c>
      <c r="F8" s="35" t="n">
        <f aca="false">IF(OR(F5="",F7="",N(F5)=0),"",F7/F5)</f>
        <v>0.0840884480156652</v>
      </c>
      <c r="G8" s="25" t="n">
        <v>0.0788875456726085</v>
      </c>
      <c r="H8" s="25" t="n">
        <v>0.0788875456726085</v>
      </c>
      <c r="I8" s="25" t="n">
        <v>0.0788875456726085</v>
      </c>
      <c r="J8" s="25" t="n">
        <v>0.0788875456726085</v>
      </c>
      <c r="K8" s="25" t="n">
        <v>0.0788875456726085</v>
      </c>
    </row>
    <row r="9" customFormat="false" ht="15" hidden="false" customHeight="false" outlineLevel="0" collapsed="false">
      <c r="A9" s="7" t="s">
        <v>132</v>
      </c>
      <c r="G9" s="31" t="n">
        <f aca="false">-MAX(G7,0)*TaxRate</f>
        <v>-110.816305537092</v>
      </c>
      <c r="H9" s="31" t="n">
        <f aca="false">-MAX(H7,0)*TaxRate</f>
        <v>-127.934005650174</v>
      </c>
      <c r="I9" s="31" t="n">
        <f aca="false">-MAX(I7,0)*TaxRate</f>
        <v>-143.55498566269</v>
      </c>
      <c r="J9" s="31" t="n">
        <f aca="false">-MAX(J7,0)*TaxRate</f>
        <v>-156.436831025106</v>
      </c>
      <c r="K9" s="31" t="n">
        <f aca="false">-MAX(K7,0)*TaxRate</f>
        <v>-165.411187541637</v>
      </c>
    </row>
    <row r="10" customFormat="false" ht="15" hidden="false" customHeight="false" outlineLevel="0" collapsed="false">
      <c r="A10" s="5" t="s">
        <v>133</v>
      </c>
      <c r="G10" s="33" t="n">
        <f aca="false">G7+G9</f>
        <v>362.732217927674</v>
      </c>
      <c r="H10" s="33" t="n">
        <f aca="false">H7+H9</f>
        <v>418.763153968589</v>
      </c>
      <c r="I10" s="33" t="n">
        <f aca="false">I7+I9</f>
        <v>469.894913854298</v>
      </c>
      <c r="J10" s="33" t="n">
        <f aca="false">J7+J9</f>
        <v>512.060733375744</v>
      </c>
      <c r="K10" s="33" t="n">
        <f aca="false">K7+K9</f>
        <v>541.436268211864</v>
      </c>
    </row>
    <row r="11" customFormat="false" ht="15" hidden="false" customHeight="false" outlineLevel="0" collapsed="false">
      <c r="A11" s="7" t="s">
        <v>134</v>
      </c>
      <c r="B11" s="10" t="n">
        <f aca="false">IF(Historicals!B21="","",Historicals!B21)</f>
        <v>55.985</v>
      </c>
      <c r="C11" s="10" t="n">
        <f aca="false">IF(Historicals!C21="","",Historicals!C21)</f>
        <v>62.355</v>
      </c>
      <c r="D11" s="10" t="n">
        <f aca="false">IF(Historicals!D21="","",Historicals!D21)</f>
        <v>72.387</v>
      </c>
      <c r="E11" s="10" t="n">
        <f aca="false">IF(Historicals!E21="","",Historicals!E21)</f>
        <v>84.138</v>
      </c>
      <c r="F11" s="10" t="n">
        <f aca="false">IF(Historicals!F21="","",Historicals!F21)</f>
        <v>104.327</v>
      </c>
      <c r="G11" s="31" t="n">
        <f aca="false">G5*G12</f>
        <v>119.626996749748</v>
      </c>
      <c r="H11" s="31" t="n">
        <f aca="false">H5*H12</f>
        <v>138.105676812814</v>
      </c>
      <c r="I11" s="31" t="n">
        <f aca="false">I5*I12</f>
        <v>154.968636790845</v>
      </c>
      <c r="J11" s="31" t="n">
        <f aca="false">J5*J12</f>
        <v>168.874681265362</v>
      </c>
      <c r="K11" s="31" t="n">
        <f aca="false">K5*K12</f>
        <v>178.562563501021</v>
      </c>
    </row>
    <row r="12" customFormat="false" ht="15" hidden="false" customHeight="false" outlineLevel="0" collapsed="false">
      <c r="A12" s="7" t="s">
        <v>135</v>
      </c>
      <c r="B12" s="35" t="n">
        <f aca="false">IF(OR(B5="",B11="",N(B5)=0),"",B11/B5)</f>
        <v>0.021307642625333</v>
      </c>
      <c r="C12" s="35" t="n">
        <f aca="false">IF(OR(C5="",C11="",N(C5)=0),"",C11/C5)</f>
        <v>0.0206100345467214</v>
      </c>
      <c r="D12" s="35" t="n">
        <f aca="false">IF(OR(D5="",D11="",N(D5)=0),"",D11/D5)</f>
        <v>0.0194100588439556</v>
      </c>
      <c r="E12" s="35" t="n">
        <f aca="false">IF(OR(E5="",E11="",N(E5)=0),"",E11/E5)</f>
        <v>0.0197484558682873</v>
      </c>
      <c r="F12" s="35" t="n">
        <f aca="false">IF(OR(F5="",F11="",N(F5)=0),"",F11/F5)</f>
        <v>0.0206267852231812</v>
      </c>
      <c r="G12" s="25" t="n">
        <v>0.019928433311808</v>
      </c>
      <c r="H12" s="25" t="n">
        <v>0.019928433311808</v>
      </c>
      <c r="I12" s="25" t="n">
        <v>0.019928433311808</v>
      </c>
      <c r="J12" s="25" t="n">
        <v>0.019928433311808</v>
      </c>
      <c r="K12" s="25" t="n">
        <v>0.019928433311808</v>
      </c>
    </row>
    <row r="13" customFormat="false" ht="15" hidden="false" customHeight="false" outlineLevel="0" collapsed="false">
      <c r="A13" s="7" t="s">
        <v>136</v>
      </c>
      <c r="B13" s="31" t="n">
        <f aca="false">IF(OR(B7="",B11=""),"",B7+B11)</f>
        <v>316.45</v>
      </c>
      <c r="C13" s="31" t="n">
        <f aca="false">IF(OR(C7="",C11=""),"",C7+C11)</f>
        <v>359.18</v>
      </c>
      <c r="D13" s="31" t="n">
        <f aca="false">IF(OR(D7="",D11=""),"",D7+D11)</f>
        <v>327.754</v>
      </c>
      <c r="E13" s="31" t="n">
        <f aca="false">IF(OR(E7="",E11=""),"",E7+E11)</f>
        <v>442.442</v>
      </c>
      <c r="F13" s="31" t="n">
        <f aca="false">IF(OR(F7="",F11=""),"",F7+F11)</f>
        <v>529.633</v>
      </c>
      <c r="G13" s="31" t="n">
        <f aca="false">G7+G11</f>
        <v>593.175520214514</v>
      </c>
      <c r="H13" s="31" t="n">
        <f aca="false">H7+H11</f>
        <v>684.802836431578</v>
      </c>
      <c r="I13" s="31" t="n">
        <f aca="false">I7+I11</f>
        <v>768.418536307833</v>
      </c>
      <c r="J13" s="31" t="n">
        <f aca="false">J7+J11</f>
        <v>837.372245666212</v>
      </c>
      <c r="K13" s="31" t="n">
        <f aca="false">K7+K11</f>
        <v>885.410019254521</v>
      </c>
    </row>
    <row r="14" customFormat="false" ht="15" hidden="false" customHeight="false" outlineLevel="0" collapsed="false">
      <c r="A14" s="7" t="s">
        <v>137</v>
      </c>
      <c r="B14" s="10" t="str">
        <f aca="false">IF(Historicals!B22="","",-Historicals!B22)</f>
        <v/>
      </c>
      <c r="C14" s="10" t="str">
        <f aca="false">IF(Historicals!C22="","",-Historicals!C22)</f>
        <v/>
      </c>
      <c r="D14" s="10" t="str">
        <f aca="false">IF(Historicals!D22="","",-Historicals!D22)</f>
        <v/>
      </c>
      <c r="E14" s="10" t="str">
        <f aca="false">IF(Historicals!E22="","",-Historicals!E22)</f>
        <v/>
      </c>
      <c r="F14" s="10" t="str">
        <f aca="false">IF(Historicals!F22="","",-Historicals!F22)</f>
        <v/>
      </c>
      <c r="G14" s="31" t="n">
        <f aca="false">-G5*G15</f>
        <v>-119.626996749748</v>
      </c>
      <c r="H14" s="31" t="n">
        <f aca="false">-H5*H15</f>
        <v>-138.105676812814</v>
      </c>
      <c r="I14" s="31" t="n">
        <f aca="false">-I5*I15</f>
        <v>-154.968636790845</v>
      </c>
      <c r="J14" s="31" t="n">
        <f aca="false">-J5*J15</f>
        <v>-168.874681265362</v>
      </c>
      <c r="K14" s="31" t="n">
        <f aca="false">-K5*K15</f>
        <v>-178.562563501021</v>
      </c>
    </row>
    <row r="15" customFormat="false" ht="15" hidden="false" customHeight="false" outlineLevel="0" collapsed="false">
      <c r="A15" s="7" t="s">
        <v>135</v>
      </c>
      <c r="B15" s="35" t="str">
        <f aca="false">IF(OR(B5="",B14="",N(B5)=0),"",-B14/B5)</f>
        <v/>
      </c>
      <c r="C15" s="35" t="str">
        <f aca="false">IF(OR(C5="",C14="",N(C5)=0),"",-C14/C5)</f>
        <v/>
      </c>
      <c r="D15" s="35" t="str">
        <f aca="false">IF(OR(D5="",D14="",N(D5)=0),"",-D14/D5)</f>
        <v/>
      </c>
      <c r="E15" s="35" t="str">
        <f aca="false">IF(OR(E5="",E14="",N(E5)=0),"",-E14/E5)</f>
        <v/>
      </c>
      <c r="F15" s="35" t="str">
        <f aca="false">IF(OR(F5="",F14="",N(F5)=0),"",-F14/F5)</f>
        <v/>
      </c>
      <c r="G15" s="25" t="n">
        <v>0.019928433311808</v>
      </c>
      <c r="H15" s="25" t="n">
        <v>0.019928433311808</v>
      </c>
      <c r="I15" s="25" t="n">
        <v>0.019928433311808</v>
      </c>
      <c r="J15" s="25" t="n">
        <v>0.019928433311808</v>
      </c>
      <c r="K15" s="25" t="n">
        <v>0.019928433311808</v>
      </c>
    </row>
    <row r="16" customFormat="false" ht="15" hidden="false" customHeight="false" outlineLevel="0" collapsed="false">
      <c r="A16" s="7" t="s">
        <v>111</v>
      </c>
      <c r="B16" s="10" t="n">
        <f aca="false">IF(Historicals!B38="","",Historicals!B38)</f>
        <v>-155.563</v>
      </c>
      <c r="C16" s="10" t="n">
        <f aca="false">IF(Historicals!C38="","",Historicals!C38)</f>
        <v>-128.775</v>
      </c>
      <c r="D16" s="10" t="n">
        <f aca="false">IF(Historicals!D38="","",Historicals!D38)</f>
        <v>-210.722</v>
      </c>
      <c r="E16" s="10" t="n">
        <f aca="false">IF(Historicals!E38="","",Historicals!E38)</f>
        <v>-108.563</v>
      </c>
      <c r="F16" s="10" t="n">
        <f aca="false">IF(Historicals!F38="","",Historicals!F38)</f>
        <v>-190.202</v>
      </c>
      <c r="G16" s="31" t="n">
        <f aca="false">G5*G17</f>
        <v>-225.738663207082</v>
      </c>
      <c r="H16" s="31" t="n">
        <f aca="false">H5*H17</f>
        <v>-260.608321800903</v>
      </c>
      <c r="I16" s="31" t="n">
        <f aca="false">I5*I17</f>
        <v>-292.429082553748</v>
      </c>
      <c r="J16" s="31" t="n">
        <f aca="false">J5*J17</f>
        <v>-318.67008145421</v>
      </c>
      <c r="K16" s="31" t="n">
        <f aca="false">K5*K17</f>
        <v>-336.951319340338</v>
      </c>
    </row>
    <row r="17" customFormat="false" ht="15" hidden="false" customHeight="false" outlineLevel="0" collapsed="false">
      <c r="A17" s="7" t="s">
        <v>135</v>
      </c>
      <c r="B17" s="35" t="n">
        <f aca="false">IF(OR(B5="",B16="",N(B5)=0),"",B16/B5)</f>
        <v>-0.0592065876524904</v>
      </c>
      <c r="C17" s="35" t="n">
        <f aca="false">IF(OR(C5="",C16="",N(C5)=0),"",C16/C5)</f>
        <v>-0.0425636628779415</v>
      </c>
      <c r="D17" s="35" t="n">
        <f aca="false">IF(OR(D5="",D16="",N(D5)=0),"",D16/D5)</f>
        <v>-0.0565036045106995</v>
      </c>
      <c r="E17" s="35" t="n">
        <f aca="false">IF(OR(E5="",E16="",N(E5)=0),"",E16/E5)</f>
        <v>-0.0254813712523339</v>
      </c>
      <c r="F17" s="35" t="n">
        <f aca="false">IF(OR(F5="",F16="",N(F5)=0),"",F16/F5)</f>
        <v>-0.0376053735180683</v>
      </c>
      <c r="G17" s="25" t="n">
        <v>-0.0376053735180683</v>
      </c>
      <c r="H17" s="25" t="n">
        <v>-0.0376053735180683</v>
      </c>
      <c r="I17" s="25" t="n">
        <v>-0.0376053735180683</v>
      </c>
      <c r="J17" s="25" t="n">
        <v>-0.0376053735180683</v>
      </c>
      <c r="K17" s="25" t="n">
        <v>-0.0376053735180683</v>
      </c>
    </row>
    <row r="18" customFormat="false" ht="15" hidden="false" customHeight="false" outlineLevel="0" collapsed="false">
      <c r="A18" s="7" t="s">
        <v>138</v>
      </c>
      <c r="C18" s="31" t="n">
        <f aca="false">IF(OR(B16="",C16=""),"",-(C16-B16))</f>
        <v>-26.7880000000001</v>
      </c>
      <c r="D18" s="31" t="n">
        <f aca="false">IF(OR(C16="",D16=""),"",-(D16-C16))</f>
        <v>81.947</v>
      </c>
      <c r="E18" s="31" t="n">
        <f aca="false">IF(OR(D16="",E16=""),"",-(E16-D16))</f>
        <v>-102.159</v>
      </c>
      <c r="F18" s="31" t="n">
        <f aca="false">IF(OR(E16="",F16=""),"",-(F16-E16))</f>
        <v>81.639</v>
      </c>
      <c r="G18" s="31" t="n">
        <f aca="false">-(G16-IF(F16="",G16,F16))</f>
        <v>35.5366632070816</v>
      </c>
      <c r="H18" s="31" t="n">
        <f aca="false">-(H16-IF(G16="",H16,G16))</f>
        <v>34.8696585938216</v>
      </c>
      <c r="I18" s="31" t="n">
        <f aca="false">-(I16-IF(H16="",I16,H16))</f>
        <v>31.8207607528449</v>
      </c>
      <c r="J18" s="31" t="n">
        <f aca="false">-(J16-IF(I16="",J16,I16))</f>
        <v>26.240998900462</v>
      </c>
      <c r="K18" s="31" t="n">
        <f aca="false">-(K16-IF(J16="",K16,J16))</f>
        <v>18.2812378861283</v>
      </c>
    </row>
    <row r="19" customFormat="false" ht="15" hidden="false" customHeight="false" outlineLevel="0" collapsed="false">
      <c r="A19" s="5" t="s">
        <v>139</v>
      </c>
      <c r="B19" s="36"/>
      <c r="C19" s="36"/>
      <c r="D19" s="36"/>
      <c r="E19" s="36"/>
      <c r="F19" s="36"/>
      <c r="G19" s="37" t="n">
        <f aca="false">G10+G11+G14+G18</f>
        <v>398.268881134756</v>
      </c>
      <c r="H19" s="37" t="n">
        <f aca="false">H10+H11+H14+H18</f>
        <v>453.632812562411</v>
      </c>
      <c r="I19" s="37" t="n">
        <f aca="false">I10+I11+I14+I18</f>
        <v>501.715674607143</v>
      </c>
      <c r="J19" s="37" t="n">
        <f aca="false">J10+J11+J14+J18</f>
        <v>538.301732276206</v>
      </c>
      <c r="K19" s="37" t="n">
        <f aca="false">K10+K11+K14+K18</f>
        <v>559.717506097992</v>
      </c>
    </row>
    <row r="21" customFormat="false" ht="15" hidden="false" customHeight="false" outlineLevel="0" collapsed="false">
      <c r="A21" s="12" t="s">
        <v>140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customFormat="false" ht="15" hidden="false" customHeight="false" outlineLevel="0" collapsed="false">
      <c r="A22" s="7" t="s">
        <v>141</v>
      </c>
      <c r="G22" s="38" t="n">
        <f aca="false">1</f>
        <v>1</v>
      </c>
      <c r="H22" s="38" t="n">
        <f aca="false">G22+1</f>
        <v>2</v>
      </c>
      <c r="I22" s="38" t="n">
        <f aca="false">H22+1</f>
        <v>3</v>
      </c>
      <c r="J22" s="38" t="n">
        <f aca="false">I22+1</f>
        <v>4</v>
      </c>
      <c r="K22" s="38" t="n">
        <f aca="false">J22+1</f>
        <v>5</v>
      </c>
    </row>
    <row r="23" customFormat="false" ht="15" hidden="false" customHeight="false" outlineLevel="0" collapsed="false">
      <c r="A23" s="7" t="s">
        <v>142</v>
      </c>
      <c r="G23" s="22" t="n">
        <f aca="false">IF(G22=1,1-StubYears,1)</f>
        <v>0.19233401779603</v>
      </c>
      <c r="H23" s="22" t="n">
        <f aca="false">IF(H22=1,1-StubYears,1)</f>
        <v>1</v>
      </c>
      <c r="I23" s="22" t="n">
        <f aca="false">IF(I22=1,1-StubYears,1)</f>
        <v>1</v>
      </c>
      <c r="J23" s="22" t="n">
        <f aca="false">IF(J22=1,1-StubYears,1)</f>
        <v>1</v>
      </c>
      <c r="K23" s="22" t="n">
        <f aca="false">IF(K22=1,1-StubYears,1)</f>
        <v>1</v>
      </c>
    </row>
    <row r="24" customFormat="false" ht="15" hidden="false" customHeight="false" outlineLevel="0" collapsed="false">
      <c r="A24" s="7" t="s">
        <v>143</v>
      </c>
      <c r="G24" s="22" t="n">
        <f aca="false">IF(G22=1,(1-StubYears)*IF(MidYear=1,0.5,1),G22-StubYears-IF(MidYear=1,0.5,0))</f>
        <v>0.0961670088980151</v>
      </c>
      <c r="H24" s="22" t="n">
        <f aca="false">IF(H22=1,(1-StubYears)*IF(MidYear=1,0.5,1),H22-StubYears-IF(MidYear=1,0.5,0))</f>
        <v>0.69233401779603</v>
      </c>
      <c r="I24" s="22" t="n">
        <f aca="false">IF(I22=1,(1-StubYears)*IF(MidYear=1,0.5,1),I22-StubYears-IF(MidYear=1,0.5,0))</f>
        <v>1.69233401779603</v>
      </c>
      <c r="J24" s="22" t="n">
        <f aca="false">IF(J22=1,(1-StubYears)*IF(MidYear=1,0.5,1),J22-StubYears-IF(MidYear=1,0.5,0))</f>
        <v>2.69233401779603</v>
      </c>
      <c r="K24" s="22" t="n">
        <f aca="false">IF(K22=1,(1-StubYears)*IF(MidYear=1,0.5,1),K22-StubYears-IF(MidYear=1,0.5,0))</f>
        <v>3.69233401779603</v>
      </c>
    </row>
    <row r="25" customFormat="false" ht="15" hidden="false" customHeight="false" outlineLevel="0" collapsed="false">
      <c r="A25" s="7" t="s">
        <v>144</v>
      </c>
      <c r="G25" s="39" t="n">
        <f aca="false">1/(1+WACC)^G24</f>
        <v>0.992321762485119</v>
      </c>
      <c r="H25" s="39" t="n">
        <f aca="false">1/(1+WACC)^H24</f>
        <v>0.946020390252964</v>
      </c>
      <c r="I25" s="39" t="n">
        <f aca="false">1/(1+WACC)^I24</f>
        <v>0.873155165944331</v>
      </c>
      <c r="J25" s="39" t="n">
        <f aca="false">1/(1+WACC)^J24</f>
        <v>0.80590223178108</v>
      </c>
      <c r="K25" s="39" t="n">
        <f aca="false">1/(1+WACC)^K24</f>
        <v>0.743829312957572</v>
      </c>
    </row>
    <row r="26" customFormat="false" ht="15" hidden="false" customHeight="false" outlineLevel="0" collapsed="false">
      <c r="A26" s="5" t="s">
        <v>145</v>
      </c>
      <c r="B26" s="36"/>
      <c r="C26" s="36"/>
      <c r="D26" s="36"/>
      <c r="E26" s="36"/>
      <c r="F26" s="36"/>
      <c r="G26" s="37" t="n">
        <f aca="false">G19*G23*G25</f>
        <v>76.0124960560187</v>
      </c>
      <c r="H26" s="37" t="n">
        <f aca="false">H19*H23*H25</f>
        <v>429.145890371842</v>
      </c>
      <c r="I26" s="37" t="n">
        <f aca="false">I19*I23*I25</f>
        <v>438.075633118472</v>
      </c>
      <c r="J26" s="37" t="n">
        <f aca="false">J19*J23*J25</f>
        <v>433.818567413016</v>
      </c>
      <c r="K26" s="37" t="n">
        <f aca="false">K19*K23*K25</f>
        <v>416.334288011195</v>
      </c>
    </row>
    <row r="28" customFormat="false" ht="15" hidden="false" customHeight="false" outlineLevel="0" collapsed="false">
      <c r="A28" s="3" t="s">
        <v>2</v>
      </c>
      <c r="B28" s="4" t="s">
        <v>146</v>
      </c>
      <c r="C28" s="4" t="s">
        <v>4</v>
      </c>
    </row>
    <row r="29" customFormat="false" ht="15" hidden="false" customHeight="false" outlineLevel="0" collapsed="false">
      <c r="A29" s="7" t="s">
        <v>147</v>
      </c>
      <c r="B29" s="31" t="n">
        <f aca="false">SUM(G26:K26)</f>
        <v>1793.38687497054</v>
      </c>
      <c r="C29" s="31" t="n">
        <f aca="false">B29</f>
        <v>1793.38687497054</v>
      </c>
    </row>
    <row r="30" customFormat="false" ht="15" hidden="false" customHeight="false" outlineLevel="0" collapsed="false">
      <c r="A30" s="7" t="s">
        <v>148</v>
      </c>
      <c r="B30" s="31" t="n">
        <f aca="false">K19</f>
        <v>559.717506097992</v>
      </c>
      <c r="C30" s="31" t="n">
        <f aca="false">K13</f>
        <v>885.410019254521</v>
      </c>
    </row>
    <row r="31" customFormat="false" ht="15" hidden="false" customHeight="false" outlineLevel="0" collapsed="false">
      <c r="A31" s="7" t="s">
        <v>55</v>
      </c>
      <c r="B31" s="31" t="n">
        <f aca="false">IF(WACC&gt;TerminalGrowth,B30*(1+TerminalGrowth)/(WACC-TerminalGrowth),"n/m")</f>
        <v>9815.32349438856</v>
      </c>
      <c r="C31" s="31" t="n">
        <f aca="false">C30*ExitMultiple</f>
        <v>8854.10019254521</v>
      </c>
    </row>
    <row r="32" customFormat="false" ht="15" hidden="false" customHeight="false" outlineLevel="0" collapsed="false">
      <c r="A32" s="7" t="s">
        <v>149</v>
      </c>
      <c r="B32" s="22" t="n">
        <f aca="false">K22-StubYears</f>
        <v>4.19233401779603</v>
      </c>
      <c r="C32" s="22" t="n">
        <f aca="false">B32</f>
        <v>4.19233401779603</v>
      </c>
    </row>
    <row r="33" customFormat="false" ht="15" hidden="false" customHeight="false" outlineLevel="0" collapsed="false">
      <c r="A33" s="7" t="s">
        <v>150</v>
      </c>
      <c r="B33" s="31" t="n">
        <f aca="false">IF(ISNUMBER(B31),B31/(1+WACC)^B32,"n/m")</f>
        <v>7014.12291456496</v>
      </c>
      <c r="C33" s="31" t="n">
        <f aca="false">C31/(1+WACC)^C32</f>
        <v>6327.22366042141</v>
      </c>
    </row>
    <row r="34" customFormat="false" ht="15" hidden="false" customHeight="false" outlineLevel="0" collapsed="false">
      <c r="A34" s="40" t="s">
        <v>151</v>
      </c>
      <c r="B34" s="37" t="n">
        <f aca="false">IF(ISNUMBER(B33),B29+B33,"n/m")</f>
        <v>8807.50978953551</v>
      </c>
      <c r="C34" s="37" t="n">
        <f aca="false">C29+C33</f>
        <v>8120.61053539195</v>
      </c>
    </row>
    <row r="35" customFormat="false" ht="15" hidden="false" customHeight="false" outlineLevel="0" collapsed="false">
      <c r="A35" s="7" t="s">
        <v>10</v>
      </c>
      <c r="B35" s="41" t="n">
        <f aca="false">IF(AND(ISNUMBER(B34),N(B34)&lt;&gt;0),B33/B34,"n/m")</f>
        <v>0.796379803392177</v>
      </c>
      <c r="C35" s="41" t="n">
        <f aca="false">IF(C34&lt;&gt;0,C33/C34,"n/m")</f>
        <v>0.779156152464837</v>
      </c>
    </row>
    <row r="36" customFormat="false" ht="15" hidden="false" customHeight="false" outlineLevel="0" collapsed="false">
      <c r="A36" s="7" t="s">
        <v>152</v>
      </c>
      <c r="B36" s="31" t="n">
        <f aca="false">-TotalDebt</f>
        <v>-139.744</v>
      </c>
      <c r="C36" s="31" t="n">
        <f aca="false">-TotalDebt</f>
        <v>-139.744</v>
      </c>
    </row>
    <row r="37" customFormat="false" ht="15" hidden="false" customHeight="false" outlineLevel="0" collapsed="false">
      <c r="A37" s="7" t="s">
        <v>153</v>
      </c>
      <c r="B37" s="31" t="n">
        <f aca="false">CashAndSecurities</f>
        <v>320.844</v>
      </c>
      <c r="C37" s="31" t="n">
        <f aca="false">CashAndSecurities</f>
        <v>320.844</v>
      </c>
    </row>
    <row r="38" customFormat="false" ht="15" hidden="false" customHeight="false" outlineLevel="0" collapsed="false">
      <c r="A38" s="7" t="s">
        <v>154</v>
      </c>
      <c r="B38" s="31" t="n">
        <f aca="false">-NonControlling</f>
        <v>-3.621</v>
      </c>
      <c r="C38" s="31" t="n">
        <f aca="false">-NonControlling</f>
        <v>-3.621</v>
      </c>
    </row>
    <row r="39" customFormat="false" ht="15" hidden="false" customHeight="false" outlineLevel="0" collapsed="false">
      <c r="A39" s="40" t="s">
        <v>155</v>
      </c>
      <c r="B39" s="37" t="n">
        <f aca="false">IF(ISNUMBER(B34),B34+B36+B37+B38,"n/m")</f>
        <v>8984.98878953551</v>
      </c>
      <c r="C39" s="37" t="n">
        <f aca="false">C34+C36+C37+C38</f>
        <v>8298.08953539195</v>
      </c>
    </row>
    <row r="40" customFormat="false" ht="15" hidden="false" customHeight="false" outlineLevel="0" collapsed="false">
      <c r="A40" s="7" t="s">
        <v>51</v>
      </c>
      <c r="B40" s="31" t="n">
        <f aca="false">SharesOut</f>
        <v>58.282434</v>
      </c>
      <c r="C40" s="31" t="n">
        <f aca="false">SharesOut</f>
        <v>58.282434</v>
      </c>
    </row>
    <row r="41" customFormat="false" ht="15" hidden="false" customHeight="false" outlineLevel="0" collapsed="false">
      <c r="A41" s="40" t="s">
        <v>5</v>
      </c>
      <c r="B41" s="42" t="n">
        <f aca="false">IF(AND(ISNUMBER(B39),N(B40)&gt;0),B39/B40,"n/m")</f>
        <v>154.162895625387</v>
      </c>
      <c r="C41" s="42" t="n">
        <f aca="false">IF(N(C40)&gt;0,C39/C40,"n/m")</f>
        <v>142.3771961101</v>
      </c>
    </row>
    <row r="42" customFormat="false" ht="15" hidden="false" customHeight="false" outlineLevel="0" collapsed="false">
      <c r="A42" s="7" t="s">
        <v>6</v>
      </c>
      <c r="B42" s="43" t="n">
        <f aca="false">IF(SharePrice&gt;0,SharePrice,"not entered")</f>
        <v>178.35</v>
      </c>
      <c r="C42" s="43" t="n">
        <f aca="false">IF(SharePrice&gt;0,SharePrice,"not entered")</f>
        <v>178.35</v>
      </c>
    </row>
    <row r="43" customFormat="false" ht="15" hidden="false" customHeight="false" outlineLevel="0" collapsed="false">
      <c r="A43" s="5" t="s">
        <v>7</v>
      </c>
      <c r="B43" s="44" t="n">
        <f aca="false">IF(AND(ISNUMBER(B41),SharePrice&gt;0),B41/SharePrice-1,"")</f>
        <v>-0.135615948273692</v>
      </c>
      <c r="C43" s="44" t="n">
        <f aca="false">IF(AND(ISNUMBER(C41),SharePrice&gt;0),C41/SharePrice-1,"")</f>
        <v>-0.2016978070642</v>
      </c>
    </row>
    <row r="44" customFormat="false" ht="15" hidden="false" customHeight="false" outlineLevel="0" collapsed="false">
      <c r="A44" s="7" t="s">
        <v>156</v>
      </c>
      <c r="B44" s="45" t="n">
        <f aca="false">IF(AND(ISNUMBER(B31),N(K13)&lt;&gt;0),B31/K13,"n/m")</f>
        <v>11.0856250561211</v>
      </c>
      <c r="C44" s="41" t="n">
        <f aca="false">IF((C31+K19)&lt;&gt;0,(C31*WACC-K19)/(C31+K19),"n/m")</f>
        <v>0.0190317549755165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7" t="s">
        <v>157</v>
      </c>
    </row>
    <row r="2" customFormat="false" ht="15" hidden="false" customHeight="false" outlineLevel="0" collapsed="false">
      <c r="A2" s="18" t="s">
        <v>158</v>
      </c>
    </row>
    <row r="4" customFormat="false" ht="15" hidden="false" customHeight="false" outlineLevel="0" collapsed="false">
      <c r="A4" s="12" t="s">
        <v>159</v>
      </c>
      <c r="B4" s="13"/>
      <c r="C4" s="13"/>
    </row>
    <row r="5" customFormat="false" ht="15" hidden="false" customHeight="false" outlineLevel="0" collapsed="false">
      <c r="A5" s="7" t="s">
        <v>60</v>
      </c>
      <c r="B5" s="11" t="n">
        <f aca="false">RiskFreeRate</f>
        <v>0.051</v>
      </c>
    </row>
    <row r="6" customFormat="false" ht="15" hidden="false" customHeight="false" outlineLevel="0" collapsed="false">
      <c r="A6" s="7" t="s">
        <v>64</v>
      </c>
      <c r="B6" s="46" t="n">
        <f aca="false">LeveredBeta</f>
        <v>0.66</v>
      </c>
    </row>
    <row r="7" customFormat="false" ht="15" hidden="false" customHeight="false" outlineLevel="0" collapsed="false">
      <c r="A7" s="7" t="s">
        <v>62</v>
      </c>
      <c r="B7" s="11" t="n">
        <f aca="false">EquityRiskPremium</f>
        <v>0.05</v>
      </c>
    </row>
    <row r="8" customFormat="false" ht="15" hidden="false" customHeight="false" outlineLevel="0" collapsed="false">
      <c r="A8" s="5" t="s">
        <v>159</v>
      </c>
      <c r="B8" s="44" t="n">
        <f aca="false">B5+B6*B7</f>
        <v>0.084</v>
      </c>
    </row>
    <row r="9" customFormat="false" ht="15" hidden="false" customHeight="false" outlineLevel="0" collapsed="false">
      <c r="A9" s="12" t="s">
        <v>160</v>
      </c>
      <c r="B9" s="13"/>
      <c r="C9" s="13"/>
    </row>
    <row r="10" customFormat="false" ht="15" hidden="false" customHeight="false" outlineLevel="0" collapsed="false">
      <c r="A10" s="7" t="s">
        <v>65</v>
      </c>
      <c r="B10" s="11" t="n">
        <f aca="false">PreTaxCostOfDebt</f>
        <v>0.0555828088523347</v>
      </c>
    </row>
    <row r="11" customFormat="false" ht="15" hidden="false" customHeight="false" outlineLevel="0" collapsed="false">
      <c r="A11" s="7" t="s">
        <v>22</v>
      </c>
      <c r="B11" s="11" t="n">
        <f aca="false">TaxRate</f>
        <v>0.234012566919843</v>
      </c>
    </row>
    <row r="12" customFormat="false" ht="15" hidden="false" customHeight="false" outlineLevel="0" collapsed="false">
      <c r="A12" s="7" t="s">
        <v>161</v>
      </c>
      <c r="B12" s="41" t="n">
        <f aca="false">B10*(1-B11)</f>
        <v>0.0425757330761849</v>
      </c>
    </row>
    <row r="13" customFormat="false" ht="15" hidden="false" customHeight="false" outlineLevel="0" collapsed="false">
      <c r="A13" s="12" t="s">
        <v>162</v>
      </c>
      <c r="B13" s="13"/>
      <c r="C13" s="13"/>
    </row>
    <row r="14" customFormat="false" ht="15" hidden="false" customHeight="false" outlineLevel="0" collapsed="false">
      <c r="A14" s="7" t="s">
        <v>163</v>
      </c>
      <c r="B14" s="8" t="n">
        <f aca="false">IF(SharePrice&gt;0,SharePrice,"not entered")</f>
        <v>178.35</v>
      </c>
    </row>
    <row r="15" customFormat="false" ht="15" hidden="false" customHeight="false" outlineLevel="0" collapsed="false">
      <c r="A15" s="7" t="s">
        <v>51</v>
      </c>
      <c r="B15" s="10" t="n">
        <f aca="false">SharesOut</f>
        <v>58.282434</v>
      </c>
    </row>
    <row r="16" customFormat="false" ht="15" hidden="false" customHeight="false" outlineLevel="0" collapsed="false">
      <c r="A16" s="7" t="s">
        <v>164</v>
      </c>
      <c r="B16" s="31" t="n">
        <f aca="false">IF(SharePrice&gt;0,SharePrice*N(SharesOut),"")</f>
        <v>10394.6721039</v>
      </c>
    </row>
    <row r="17" customFormat="false" ht="15" hidden="false" customHeight="false" outlineLevel="0" collapsed="false">
      <c r="A17" s="7" t="s">
        <v>165</v>
      </c>
      <c r="B17" s="10" t="n">
        <f aca="false">TotalDebt</f>
        <v>139.744</v>
      </c>
    </row>
    <row r="18" customFormat="false" ht="15" hidden="false" customHeight="false" outlineLevel="0" collapsed="false">
      <c r="A18" s="7" t="s">
        <v>166</v>
      </c>
      <c r="B18" s="41" t="n">
        <f aca="false">IF(SharePrice&gt;0,IF(TotalDebt+N(B16)&gt;0,TotalDebt/(TotalDebt+N(B16)),0),TargetDebtWeight)</f>
        <v>0.0132654718231858</v>
      </c>
    </row>
    <row r="19" customFormat="false" ht="15" hidden="false" customHeight="false" outlineLevel="0" collapsed="false">
      <c r="A19" s="7" t="s">
        <v>167</v>
      </c>
      <c r="B19" s="41" t="n">
        <f aca="false">1-B18</f>
        <v>0.986734528176814</v>
      </c>
    </row>
    <row r="20" customFormat="false" ht="15" hidden="false" customHeight="false" outlineLevel="0" collapsed="false">
      <c r="A20" s="7" t="s">
        <v>168</v>
      </c>
      <c r="B20" s="7" t="str">
        <f aca="false">IF(SharePrice&gt;0,"market value of equity","target debt weight (no share price entered)")</f>
        <v>market value of equity</v>
      </c>
    </row>
    <row r="21" customFormat="false" ht="15" hidden="false" customHeight="false" outlineLevel="0" collapsed="false">
      <c r="A21" s="12" t="s">
        <v>169</v>
      </c>
      <c r="B21" s="13"/>
      <c r="C21" s="13"/>
    </row>
    <row r="22" customFormat="false" ht="15" hidden="false" customHeight="false" outlineLevel="0" collapsed="false">
      <c r="A22" s="5" t="s">
        <v>17</v>
      </c>
      <c r="B22" s="47" t="n">
        <f aca="false">B19*B8+B18*B12</f>
        <v>0.083450487554326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6" min="2" style="0" width="14"/>
  </cols>
  <sheetData>
    <row r="1" customFormat="false" ht="17.35" hidden="false" customHeight="false" outlineLevel="0" collapsed="false">
      <c r="A1" s="17" t="s">
        <v>170</v>
      </c>
    </row>
    <row r="2" customFormat="false" ht="15" hidden="false" customHeight="false" outlineLevel="0" collapsed="false">
      <c r="A2" s="18" t="s">
        <v>171</v>
      </c>
    </row>
    <row r="4" customFormat="false" ht="15" hidden="false" customHeight="false" outlineLevel="0" collapsed="false">
      <c r="A4" s="5" t="s">
        <v>172</v>
      </c>
    </row>
    <row r="5" customFormat="false" ht="15" hidden="false" customHeight="false" outlineLevel="0" collapsed="false">
      <c r="A5" s="3" t="s">
        <v>173</v>
      </c>
      <c r="B5" s="48" t="n">
        <f aca="false">TerminalGrowth-0.01</f>
        <v>0.015</v>
      </c>
      <c r="C5" s="48" t="n">
        <f aca="false">TerminalGrowth-0.005</f>
        <v>0.02</v>
      </c>
      <c r="D5" s="48" t="n">
        <f aca="false">TerminalGrowth</f>
        <v>0.025</v>
      </c>
      <c r="E5" s="48" t="n">
        <f aca="false">TerminalGrowth+0.005</f>
        <v>0.03</v>
      </c>
      <c r="F5" s="48" t="n">
        <f aca="false">TerminalGrowth+0.01</f>
        <v>0.035</v>
      </c>
    </row>
    <row r="6" customFormat="false" ht="15" hidden="false" customHeight="false" outlineLevel="0" collapsed="false">
      <c r="A6" s="49" t="n">
        <f aca="false">WACC-0.01</f>
        <v>0.073450487554326</v>
      </c>
      <c r="B6" s="43" t="n">
        <f aca="false">IF(OR(N(SharesOut)&lt;=0,$A6&lt;=-1,$A6&lt;=B$5),"n/m",(SUMPRODUCT(DCF!$G$19:$K$19,DCF!$G$23:$K$23,(1+$A6)^(-DCF!$G$24:$K$24))+DCF!$K$19*(1+B$5)/($A6-B$5)*(1+$A6)^(-TVPeriod)-TotalDebt+CashAndSecurities-NonControlling)/SharesOut)</f>
        <v>158.31716588741</v>
      </c>
      <c r="C6" s="43" t="n">
        <f aca="false">IF(OR(N(SharesOut)&lt;=0,$A6&lt;=-1,$A6&lt;=C$5),"n/m",(SUMPRODUCT(DCF!$G$19:$K$19,DCF!$G$23:$K$23,(1+$A6)^(-DCF!$G$24:$K$24))+DCF!$K$19*(1+C$5)/($A6-C$5)*(1+$A6)^(-TVPeriod)-TotalDebt+CashAndSecurities-NonControlling)/SharesOut)</f>
        <v>170.574468921578</v>
      </c>
      <c r="D6" s="43" t="n">
        <f aca="false">IF(OR(N(SharesOut)&lt;=0,$A6&lt;=-1,$A6&lt;=D$5),"n/m",(SUMPRODUCT(DCF!$G$19:$K$19,DCF!$G$23:$K$23,(1+$A6)^(-DCF!$G$24:$K$24))+DCF!$K$19*(1+D$5)/($A6-D$5)*(1+$A6)^(-TVPeriod)-TotalDebt+CashAndSecurities-NonControlling)/SharesOut)</f>
        <v>185.361633604801</v>
      </c>
      <c r="E6" s="43" t="n">
        <f aca="false">IF(OR(N(SharesOut)&lt;=0,$A6&lt;=-1,$A6&lt;=E$5),"n/m",(SUMPRODUCT(DCF!$G$19:$K$19,DCF!$G$23:$K$23,(1+$A6)^(-DCF!$G$24:$K$24))+DCF!$K$19*(1+E$5)/($A6-E$5)*(1+$A6)^(-TVPeriod)-TotalDebt+CashAndSecurities-NonControlling)/SharesOut)</f>
        <v>203.552020096463</v>
      </c>
      <c r="F6" s="43" t="n">
        <f aca="false">IF(OR(N(SharesOut)&lt;=0,$A6&lt;=-1,$A6&lt;=F$5),"n/m",(SUMPRODUCT(DCF!$G$19:$K$19,DCF!$G$23:$K$23,(1+$A6)^(-DCF!$G$24:$K$24))+DCF!$K$19*(1+F$5)/($A6-F$5)*(1+$A6)^(-TVPeriod)-TotalDebt+CashAndSecurities-NonControlling)/SharesOut)</f>
        <v>226.473266363561</v>
      </c>
    </row>
    <row r="7" customFormat="false" ht="15" hidden="false" customHeight="false" outlineLevel="0" collapsed="false">
      <c r="A7" s="49" t="n">
        <f aca="false">WACC-0.005</f>
        <v>0.078450487554326</v>
      </c>
      <c r="B7" s="43" t="n">
        <f aca="false">IF(OR(N(SharesOut)&lt;=0,$A7&lt;=-1,$A7&lt;=B$5),"n/m",(SUMPRODUCT(DCF!$G$19:$K$19,DCF!$G$23:$K$23,(1+$A7)^(-DCF!$G$24:$K$24))+DCF!$K$19*(1+B$5)/($A7-B$5)*(1+$A7)^(-TVPeriod)-TotalDebt+CashAndSecurities-NonControlling)/SharesOut)</f>
        <v>146.047008389346</v>
      </c>
      <c r="C7" s="43" t="n">
        <f aca="false">IF(OR(N(SharesOut)&lt;=0,$A7&lt;=-1,$A7&lt;=C$5),"n/m",(SUMPRODUCT(DCF!$G$19:$K$19,DCF!$G$23:$K$23,(1+$A7)^(-DCF!$G$24:$K$24))+DCF!$K$19*(1+C$5)/($A7-C$5)*(1+$A7)^(-TVPeriod)-TotalDebt+CashAndSecurities-NonControlling)/SharesOut)</f>
        <v>156.22047309549</v>
      </c>
      <c r="D7" s="43" t="n">
        <f aca="false">IF(OR(N(SharesOut)&lt;=0,$A7&lt;=-1,$A7&lt;=D$5),"n/m",(SUMPRODUCT(DCF!$G$19:$K$19,DCF!$G$23:$K$23,(1+$A7)^(-DCF!$G$24:$K$24))+DCF!$K$19*(1+D$5)/($A7-D$5)*(1+$A7)^(-TVPeriod)-TotalDebt+CashAndSecurities-NonControlling)/SharesOut)</f>
        <v>168.297281470073</v>
      </c>
      <c r="E7" s="43" t="n">
        <f aca="false">IF(OR(N(SharesOut)&lt;=0,$A7&lt;=-1,$A7&lt;=E$5),"n/m",(SUMPRODUCT(DCF!$G$19:$K$19,DCF!$G$23:$K$23,(1+$A7)^(-DCF!$G$24:$K$24))+DCF!$K$19*(1+E$5)/($A7-E$5)*(1+$A7)^(-TVPeriod)-TotalDebt+CashAndSecurities-NonControlling)/SharesOut)</f>
        <v>182.866698068885</v>
      </c>
      <c r="F7" s="43" t="n">
        <f aca="false">IF(OR(N(SharesOut)&lt;=0,$A7&lt;=-1,$A7&lt;=F$5),"n/m",(SUMPRODUCT(DCF!$G$19:$K$19,DCF!$G$23:$K$23,(1+$A7)^(-DCF!$G$24:$K$24))+DCF!$K$19*(1+F$5)/($A7-F$5)*(1+$A7)^(-TVPeriod)-TotalDebt+CashAndSecurities-NonControlling)/SharesOut)</f>
        <v>200.789222404542</v>
      </c>
    </row>
    <row r="8" customFormat="false" ht="15" hidden="false" customHeight="false" outlineLevel="0" collapsed="false">
      <c r="A8" s="49" t="n">
        <f aca="false">WACC</f>
        <v>0.083450487554326</v>
      </c>
      <c r="B8" s="43" t="n">
        <f aca="false">IF(OR(N(SharesOut)&lt;=0,$A8&lt;=-1,$A8&lt;=B$5),"n/m",(SUMPRODUCT(DCF!$G$19:$K$19,DCF!$G$23:$K$23,(1+$A8)^(-DCF!$G$24:$K$24))+DCF!$K$19*(1+B$5)/($A8-B$5)*(1+$A8)^(-TVPeriod)-TotalDebt+CashAndSecurities-NonControlling)/SharesOut)</f>
        <v>135.578675124941</v>
      </c>
      <c r="C8" s="43" t="n">
        <f aca="false">IF(OR(N(SharesOut)&lt;=0,$A8&lt;=-1,$A8&lt;=C$5),"n/m",(SUMPRODUCT(DCF!$G$19:$K$19,DCF!$G$23:$K$23,(1+$A8)^(-DCF!$G$24:$K$24))+DCF!$K$19*(1+C$5)/($A8-C$5)*(1+$A8)^(-TVPeriod)-TotalDebt+CashAndSecurities-NonControlling)/SharesOut)</f>
        <v>144.138552211292</v>
      </c>
      <c r="D8" s="50" t="n">
        <f aca="false">IF(OR(N(SharesOut)&lt;=0,$A8&lt;=-1,$A8&lt;=D$5),"n/m",(SUMPRODUCT(DCF!$G$19:$K$19,DCF!$G$23:$K$23,(1+$A8)^(-DCF!$G$24:$K$24))+DCF!$K$19*(1+D$5)/($A8-D$5)*(1+$A8)^(-TVPeriod)-TotalDebt+CashAndSecurities-NonControlling)/SharesOut)</f>
        <v>154.162895625387</v>
      </c>
      <c r="E8" s="43" t="n">
        <f aca="false">IF(OR(N(SharesOut)&lt;=0,$A8&lt;=-1,$A8&lt;=E$5),"n/m",(SUMPRODUCT(DCF!$G$19:$K$19,DCF!$G$23:$K$23,(1+$A8)^(-DCF!$G$24:$K$24))+DCF!$K$19*(1+E$5)/($A8-E$5)*(1+$A8)^(-TVPeriod)-TotalDebt+CashAndSecurities-NonControlling)/SharesOut)</f>
        <v>166.062683749674</v>
      </c>
      <c r="F8" s="43" t="n">
        <f aca="false">IF(OR(N(SharesOut)&lt;=0,$A8&lt;=-1,$A8&lt;=F$5),"n/m",(SUMPRODUCT(DCF!$G$19:$K$19,DCF!$G$23:$K$23,(1+$A8)^(-DCF!$G$24:$K$24))+DCF!$K$19*(1+F$5)/($A8-F$5)*(1+$A8)^(-TVPeriod)-TotalDebt+CashAndSecurities-NonControlling)/SharesOut)</f>
        <v>180.41854377849</v>
      </c>
    </row>
    <row r="9" customFormat="false" ht="15" hidden="false" customHeight="false" outlineLevel="0" collapsed="false">
      <c r="A9" s="49" t="n">
        <f aca="false">WACC+0.005</f>
        <v>0.088450487554326</v>
      </c>
      <c r="B9" s="43" t="n">
        <f aca="false">IF(OR(N(SharesOut)&lt;=0,$A9&lt;=-1,$A9&lt;=B$5),"n/m",(SUMPRODUCT(DCF!$G$19:$K$19,DCF!$G$23:$K$23,(1+$A9)^(-DCF!$G$24:$K$24))+DCF!$K$19*(1+B$5)/($A9-B$5)*(1+$A9)^(-TVPeriod)-TotalDebt+CashAndSecurities-NonControlling)/SharesOut)</f>
        <v>126.543873236935</v>
      </c>
      <c r="C9" s="43" t="n">
        <f aca="false">IF(OR(N(SharesOut)&lt;=0,$A9&lt;=-1,$A9&lt;=C$5),"n/m",(SUMPRODUCT(DCF!$G$19:$K$19,DCF!$G$23:$K$23,(1+$A9)^(-DCF!$G$24:$K$24))+DCF!$K$19*(1+C$5)/($A9-C$5)*(1+$A9)^(-TVPeriod)-TotalDebt+CashAndSecurities-NonControlling)/SharesOut)</f>
        <v>133.830464181519</v>
      </c>
      <c r="D9" s="43" t="n">
        <f aca="false">IF(OR(N(SharesOut)&lt;=0,$A9&lt;=-1,$A9&lt;=D$5),"n/m",(SUMPRODUCT(DCF!$G$19:$K$19,DCF!$G$23:$K$23,(1+$A9)^(-DCF!$G$24:$K$24))+DCF!$K$19*(1+D$5)/($A9-D$5)*(1+$A9)^(-TVPeriod)-TotalDebt+CashAndSecurities-NonControlling)/SharesOut)</f>
        <v>142.265445189826</v>
      </c>
      <c r="E9" s="43" t="n">
        <f aca="false">IF(OR(N(SharesOut)&lt;=0,$A9&lt;=-1,$A9&lt;=E$5),"n/m",(SUMPRODUCT(DCF!$G$19:$K$19,DCF!$G$23:$K$23,(1+$A9)^(-DCF!$G$24:$K$24))+DCF!$K$19*(1+E$5)/($A9-E$5)*(1+$A9)^(-TVPeriod)-TotalDebt+CashAndSecurities-NonControlling)/SharesOut)</f>
        <v>152.143524683918</v>
      </c>
      <c r="F9" s="43" t="n">
        <f aca="false">IF(OR(N(SharesOut)&lt;=0,$A9&lt;=-1,$A9&lt;=F$5),"n/m",(SUMPRODUCT(DCF!$G$19:$K$19,DCF!$G$23:$K$23,(1+$A9)^(-DCF!$G$24:$K$24))+DCF!$K$19*(1+F$5)/($A9-F$5)*(1+$A9)^(-TVPeriod)-TotalDebt+CashAndSecurities-NonControlling)/SharesOut)</f>
        <v>163.869684512929</v>
      </c>
    </row>
    <row r="10" customFormat="false" ht="15" hidden="false" customHeight="false" outlineLevel="0" collapsed="false">
      <c r="A10" s="49" t="n">
        <f aca="false">WACC+0.01</f>
        <v>0.093450487554326</v>
      </c>
      <c r="B10" s="43" t="n">
        <f aca="false">IF(OR(N(SharesOut)&lt;=0,$A10&lt;=-1,$A10&lt;=B$5),"n/m",(SUMPRODUCT(DCF!$G$19:$K$19,DCF!$G$23:$K$23,(1+$A10)^(-DCF!$G$24:$K$24))+DCF!$K$19*(1+B$5)/($A10-B$5)*(1+$A10)^(-TVPeriod)-TotalDebt+CashAndSecurities-NonControlling)/SharesOut)</f>
        <v>118.66821351936</v>
      </c>
      <c r="C10" s="43" t="n">
        <f aca="false">IF(OR(N(SharesOut)&lt;=0,$A10&lt;=-1,$A10&lt;=C$5),"n/m",(SUMPRODUCT(DCF!$G$19:$K$19,DCF!$G$23:$K$23,(1+$A10)^(-DCF!$G$24:$K$24))+DCF!$K$19*(1+C$5)/($A10-C$5)*(1+$A10)^(-TVPeriod)-TotalDebt+CashAndSecurities-NonControlling)/SharesOut)</f>
        <v>124.933647028331</v>
      </c>
      <c r="D10" s="43" t="n">
        <f aca="false">IF(OR(N(SharesOut)&lt;=0,$A10&lt;=-1,$A10&lt;=D$5),"n/m",(SUMPRODUCT(DCF!$G$19:$K$19,DCF!$G$23:$K$23,(1+$A10)^(-DCF!$G$24:$K$24))+DCF!$K$19*(1+D$5)/($A10-D$5)*(1+$A10)^(-TVPeriod)-TotalDebt+CashAndSecurities-NonControlling)/SharesOut)</f>
        <v>132.114403967833</v>
      </c>
      <c r="E10" s="43" t="n">
        <f aca="false">IF(OR(N(SharesOut)&lt;=0,$A10&lt;=-1,$A10&lt;=E$5),"n/m",(SUMPRODUCT(DCF!$G$19:$K$19,DCF!$G$23:$K$23,(1+$A10)^(-DCF!$G$24:$K$24))+DCF!$K$19*(1+E$5)/($A10-E$5)*(1+$A10)^(-TVPeriod)-TotalDebt+CashAndSecurities-NonControlling)/SharesOut)</f>
        <v>140.426871192989</v>
      </c>
      <c r="F10" s="43" t="n">
        <f aca="false">IF(OR(N(SharesOut)&lt;=0,$A10&lt;=-1,$A10&lt;=F$5),"n/m",(SUMPRODUCT(DCF!$G$19:$K$19,DCF!$G$23:$K$23,(1+$A10)^(-DCF!$G$24:$K$24))+DCF!$K$19*(1+F$5)/($A10-F$5)*(1+$A10)^(-TVPeriod)-TotalDebt+CashAndSecurities-NonControlling)/SharesOut)</f>
        <v>150.161476636826</v>
      </c>
    </row>
    <row r="12" customFormat="false" ht="15" hidden="false" customHeight="false" outlineLevel="0" collapsed="false">
      <c r="A12" s="5" t="s">
        <v>174</v>
      </c>
    </row>
    <row r="13" customFormat="false" ht="15" hidden="false" customHeight="false" outlineLevel="0" collapsed="false">
      <c r="A13" s="3" t="s">
        <v>175</v>
      </c>
      <c r="B13" s="51" t="n">
        <f aca="false">ExitMultiple-2</f>
        <v>8</v>
      </c>
      <c r="C13" s="51" t="n">
        <f aca="false">ExitMultiple-1</f>
        <v>9</v>
      </c>
      <c r="D13" s="51" t="n">
        <f aca="false">ExitMultiple</f>
        <v>10</v>
      </c>
      <c r="E13" s="51" t="n">
        <f aca="false">ExitMultiple+1</f>
        <v>11</v>
      </c>
      <c r="F13" s="51" t="n">
        <f aca="false">ExitMultiple+2</f>
        <v>12</v>
      </c>
    </row>
    <row r="14" customFormat="false" ht="15" hidden="false" customHeight="false" outlineLevel="0" collapsed="false">
      <c r="A14" s="49" t="n">
        <f aca="false">WACC-0.01</f>
        <v>0.073450487554326</v>
      </c>
      <c r="B14" s="43" t="n">
        <f aca="false">IF(OR(N(SharesOut)&lt;=0,$A14&lt;=-1),"n/m",(SUMPRODUCT(DCF!$G$19:$K$19,DCF!$G$23:$K$23,(1+$A14)^(-DCF!$G$24:$K$24))+DCF!$K$13*B$13*(1+$A14)^(-TVPeriod)-TotalDebt+CashAndSecurities-NonControlling)/SharesOut)</f>
        <v>124.712001195373</v>
      </c>
      <c r="C14" s="43" t="n">
        <f aca="false">IF(OR(N(SharesOut)&lt;=0,$A14&lt;=-1),"n/m",(SUMPRODUCT(DCF!$G$19:$K$19,DCF!$G$23:$K$23,(1+$A14)^(-DCF!$G$24:$K$24))+DCF!$K$13*C$13*(1+$A14)^(-TVPeriod)-TotalDebt+CashAndSecurities-NonControlling)/SharesOut)</f>
        <v>135.998474328746</v>
      </c>
      <c r="D14" s="43" t="n">
        <f aca="false">IF(OR(N(SharesOut)&lt;=0,$A14&lt;=-1),"n/m",(SUMPRODUCT(DCF!$G$19:$K$19,DCF!$G$23:$K$23,(1+$A14)^(-DCF!$G$24:$K$24))+DCF!$K$13*D$13*(1+$A14)^(-TVPeriod)-TotalDebt+CashAndSecurities-NonControlling)/SharesOut)</f>
        <v>147.28494746212</v>
      </c>
      <c r="E14" s="43" t="n">
        <f aca="false">IF(OR(N(SharesOut)&lt;=0,$A14&lt;=-1),"n/m",(SUMPRODUCT(DCF!$G$19:$K$19,DCF!$G$23:$K$23,(1+$A14)^(-DCF!$G$24:$K$24))+DCF!$K$13*E$13*(1+$A14)^(-TVPeriod)-TotalDebt+CashAndSecurities-NonControlling)/SharesOut)</f>
        <v>158.571420595493</v>
      </c>
      <c r="F14" s="43" t="n">
        <f aca="false">IF(OR(N(SharesOut)&lt;=0,$A14&lt;=-1),"n/m",(SUMPRODUCT(DCF!$G$19:$K$19,DCF!$G$23:$K$23,(1+$A14)^(-DCF!$G$24:$K$24))+DCF!$K$13*F$13*(1+$A14)^(-TVPeriod)-TotalDebt+CashAndSecurities-NonControlling)/SharesOut)</f>
        <v>169.857893728866</v>
      </c>
    </row>
    <row r="15" customFormat="false" ht="15" hidden="false" customHeight="false" outlineLevel="0" collapsed="false">
      <c r="A15" s="49" t="n">
        <f aca="false">WACC-0.005</f>
        <v>0.078450487554326</v>
      </c>
      <c r="B15" s="43" t="n">
        <f aca="false">IF(OR(N(SharesOut)&lt;=0,$A15&lt;=-1),"n/m",(SUMPRODUCT(DCF!$G$19:$K$19,DCF!$G$23:$K$23,(1+$A15)^(-DCF!$G$24:$K$24))+DCF!$K$13*B$13*(1+$A15)^(-TVPeriod)-TotalDebt+CashAndSecurities-NonControlling)/SharesOut)</f>
        <v>122.665114871342</v>
      </c>
      <c r="C15" s="43" t="n">
        <f aca="false">IF(OR(N(SharesOut)&lt;=0,$A15&lt;=-1),"n/m",(SUMPRODUCT(DCF!$G$19:$K$19,DCF!$G$23:$K$23,(1+$A15)^(-DCF!$G$24:$K$24))+DCF!$K$13*C$13*(1+$A15)^(-TVPeriod)-TotalDebt+CashAndSecurities-NonControlling)/SharesOut)</f>
        <v>133.733832558474</v>
      </c>
      <c r="D15" s="43" t="n">
        <f aca="false">IF(OR(N(SharesOut)&lt;=0,$A15&lt;=-1),"n/m",(SUMPRODUCT(DCF!$G$19:$K$19,DCF!$G$23:$K$23,(1+$A15)^(-DCF!$G$24:$K$24))+DCF!$K$13*D$13*(1+$A15)^(-TVPeriod)-TotalDebt+CashAndSecurities-NonControlling)/SharesOut)</f>
        <v>144.802550245607</v>
      </c>
      <c r="E15" s="43" t="n">
        <f aca="false">IF(OR(N(SharesOut)&lt;=0,$A15&lt;=-1),"n/m",(SUMPRODUCT(DCF!$G$19:$K$19,DCF!$G$23:$K$23,(1+$A15)^(-DCF!$G$24:$K$24))+DCF!$K$13*E$13*(1+$A15)^(-TVPeriod)-TotalDebt+CashAndSecurities-NonControlling)/SharesOut)</f>
        <v>155.871267932739</v>
      </c>
      <c r="F15" s="43" t="n">
        <f aca="false">IF(OR(N(SharesOut)&lt;=0,$A15&lt;=-1),"n/m",(SUMPRODUCT(DCF!$G$19:$K$19,DCF!$G$23:$K$23,(1+$A15)^(-DCF!$G$24:$K$24))+DCF!$K$13*F$13*(1+$A15)^(-TVPeriod)-TotalDebt+CashAndSecurities-NonControlling)/SharesOut)</f>
        <v>166.939985619872</v>
      </c>
    </row>
    <row r="16" customFormat="false" ht="15" hidden="false" customHeight="false" outlineLevel="0" collapsed="false">
      <c r="A16" s="49" t="n">
        <f aca="false">WACC</f>
        <v>0.083450487554326</v>
      </c>
      <c r="B16" s="43" t="n">
        <f aca="false">IF(OR(N(SharesOut)&lt;=0,$A16&lt;=-1),"n/m",(SUMPRODUCT(DCF!$G$19:$K$19,DCF!$G$23:$K$23,(1+$A16)^(-DCF!$G$24:$K$24))+DCF!$K$13*B$13*(1+$A16)^(-TVPeriod)-TotalDebt+CashAndSecurities-NonControlling)/SharesOut)</f>
        <v>120.664912575677</v>
      </c>
      <c r="C16" s="43" t="n">
        <f aca="false">IF(OR(N(SharesOut)&lt;=0,$A16&lt;=-1),"n/m",(SUMPRODUCT(DCF!$G$19:$K$19,DCF!$G$23:$K$23,(1+$A16)^(-DCF!$G$24:$K$24))+DCF!$K$13*C$13*(1+$A16)^(-TVPeriod)-TotalDebt+CashAndSecurities-NonControlling)/SharesOut)</f>
        <v>131.521054342888</v>
      </c>
      <c r="D16" s="50" t="n">
        <f aca="false">IF(OR(N(SharesOut)&lt;=0,$A16&lt;=-1),"n/m",(SUMPRODUCT(DCF!$G$19:$K$19,DCF!$G$23:$K$23,(1+$A16)^(-DCF!$G$24:$K$24))+DCF!$K$13*D$13*(1+$A16)^(-TVPeriod)-TotalDebt+CashAndSecurities-NonControlling)/SharesOut)</f>
        <v>142.3771961101</v>
      </c>
      <c r="E16" s="43" t="n">
        <f aca="false">IF(OR(N(SharesOut)&lt;=0,$A16&lt;=-1),"n/m",(SUMPRODUCT(DCF!$G$19:$K$19,DCF!$G$23:$K$23,(1+$A16)^(-DCF!$G$24:$K$24))+DCF!$K$13*E$13*(1+$A16)^(-TVPeriod)-TotalDebt+CashAndSecurities-NonControlling)/SharesOut)</f>
        <v>153.233337877311</v>
      </c>
      <c r="F16" s="43" t="n">
        <f aca="false">IF(OR(N(SharesOut)&lt;=0,$A16&lt;=-1),"n/m",(SUMPRODUCT(DCF!$G$19:$K$19,DCF!$G$23:$K$23,(1+$A16)^(-DCF!$G$24:$K$24))+DCF!$K$13*F$13*(1+$A16)^(-TVPeriod)-TotalDebt+CashAndSecurities-NonControlling)/SharesOut)</f>
        <v>164.089479644523</v>
      </c>
    </row>
    <row r="17" customFormat="false" ht="15" hidden="false" customHeight="false" outlineLevel="0" collapsed="false">
      <c r="A17" s="49" t="n">
        <f aca="false">WACC+0.005</f>
        <v>0.088450487554326</v>
      </c>
      <c r="B17" s="43" t="n">
        <f aca="false">IF(OR(N(SharesOut)&lt;=0,$A17&lt;=-1),"n/m",(SUMPRODUCT(DCF!$G$19:$K$19,DCF!$G$23:$K$23,(1+$A17)^(-DCF!$G$24:$K$24))+DCF!$K$13*B$13*(1+$A17)^(-TVPeriod)-TotalDebt+CashAndSecurities-NonControlling)/SharesOut)</f>
        <v>118.710104449608</v>
      </c>
      <c r="C17" s="43" t="n">
        <f aca="false">IF(OR(N(SharesOut)&lt;=0,$A17&lt;=-1),"n/m",(SUMPRODUCT(DCF!$G$19:$K$19,DCF!$G$23:$K$23,(1+$A17)^(-DCF!$G$24:$K$24))+DCF!$K$13*C$13*(1+$A17)^(-TVPeriod)-TotalDebt+CashAndSecurities-NonControlling)/SharesOut)</f>
        <v>129.358703566622</v>
      </c>
      <c r="D17" s="43" t="n">
        <f aca="false">IF(OR(N(SharesOut)&lt;=0,$A17&lt;=-1),"n/m",(SUMPRODUCT(DCF!$G$19:$K$19,DCF!$G$23:$K$23,(1+$A17)^(-DCF!$G$24:$K$24))+DCF!$K$13*D$13*(1+$A17)^(-TVPeriod)-TotalDebt+CashAndSecurities-NonControlling)/SharesOut)</f>
        <v>140.007302683635</v>
      </c>
      <c r="E17" s="43" t="n">
        <f aca="false">IF(OR(N(SharesOut)&lt;=0,$A17&lt;=-1),"n/m",(SUMPRODUCT(DCF!$G$19:$K$19,DCF!$G$23:$K$23,(1+$A17)^(-DCF!$G$24:$K$24))+DCF!$K$13*E$13*(1+$A17)^(-TVPeriod)-TotalDebt+CashAndSecurities-NonControlling)/SharesOut)</f>
        <v>150.655901800649</v>
      </c>
      <c r="F17" s="43" t="n">
        <f aca="false">IF(OR(N(SharesOut)&lt;=0,$A17&lt;=-1),"n/m",(SUMPRODUCT(DCF!$G$19:$K$19,DCF!$G$23:$K$23,(1+$A17)^(-DCF!$G$24:$K$24))+DCF!$K$13*F$13*(1+$A17)^(-TVPeriod)-TotalDebt+CashAndSecurities-NonControlling)/SharesOut)</f>
        <v>161.304500917663</v>
      </c>
    </row>
    <row r="18" customFormat="false" ht="15" hidden="false" customHeight="false" outlineLevel="0" collapsed="false">
      <c r="A18" s="49" t="n">
        <f aca="false">WACC+0.01</f>
        <v>0.093450487554326</v>
      </c>
      <c r="B18" s="43" t="n">
        <f aca="false">IF(OR(N(SharesOut)&lt;=0,$A18&lt;=-1),"n/m",(SUMPRODUCT(DCF!$G$19:$K$19,DCF!$G$23:$K$23,(1+$A18)^(-DCF!$G$24:$K$24))+DCF!$K$13*B$13*(1+$A18)^(-TVPeriod)-TotalDebt+CashAndSecurities-NonControlling)/SharesOut)</f>
        <v>116.799442178848</v>
      </c>
      <c r="C18" s="43" t="n">
        <f aca="false">IF(OR(N(SharesOut)&lt;=0,$A18&lt;=-1),"n/m",(SUMPRODUCT(DCF!$G$19:$K$19,DCF!$G$23:$K$23,(1+$A18)^(-DCF!$G$24:$K$24))+DCF!$K$13*C$13*(1+$A18)^(-TVPeriod)-TotalDebt+CashAndSecurities-NonControlling)/SharesOut)</f>
        <v>127.245390433844</v>
      </c>
      <c r="D18" s="43" t="n">
        <f aca="false">IF(OR(N(SharesOut)&lt;=0,$A18&lt;=-1),"n/m",(SUMPRODUCT(DCF!$G$19:$K$19,DCF!$G$23:$K$23,(1+$A18)^(-DCF!$G$24:$K$24))+DCF!$K$13*D$13*(1+$A18)^(-TVPeriod)-TotalDebt+CashAndSecurities-NonControlling)/SharesOut)</f>
        <v>137.691338688839</v>
      </c>
      <c r="E18" s="43" t="n">
        <f aca="false">IF(OR(N(SharesOut)&lt;=0,$A18&lt;=-1),"n/m",(SUMPRODUCT(DCF!$G$19:$K$19,DCF!$G$23:$K$23,(1+$A18)^(-DCF!$G$24:$K$24))+DCF!$K$13*E$13*(1+$A18)^(-TVPeriod)-TotalDebt+CashAndSecurities-NonControlling)/SharesOut)</f>
        <v>148.137286943834</v>
      </c>
      <c r="F18" s="43" t="n">
        <f aca="false">IF(OR(N(SharesOut)&lt;=0,$A18&lt;=-1),"n/m",(SUMPRODUCT(DCF!$G$19:$K$19,DCF!$G$23:$K$23,(1+$A18)^(-DCF!$G$24:$K$24))+DCF!$K$13*F$13*(1+$A18)^(-TVPeriod)-TotalDebt+CashAndSecurities-NonControlling)/SharesOut)</f>
        <v>158.58323519883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70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7" min="7" style="0" width="22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7" t="s">
        <v>176</v>
      </c>
    </row>
    <row r="2" customFormat="false" ht="15" hidden="false" customHeight="false" outlineLevel="0" collapsed="false">
      <c r="A2" s="18" t="s">
        <v>177</v>
      </c>
    </row>
    <row r="4" customFormat="false" ht="15" hidden="false" customHeight="false" outlineLevel="0" collapsed="false">
      <c r="A4" s="3" t="s">
        <v>178</v>
      </c>
      <c r="B4" s="4" t="s">
        <v>72</v>
      </c>
      <c r="C4" s="4" t="s">
        <v>40</v>
      </c>
      <c r="D4" s="19" t="s">
        <v>179</v>
      </c>
      <c r="E4" s="19" t="s">
        <v>180</v>
      </c>
      <c r="F4" s="19" t="s">
        <v>181</v>
      </c>
      <c r="G4" s="19" t="s">
        <v>182</v>
      </c>
      <c r="H4" s="19" t="s">
        <v>183</v>
      </c>
    </row>
    <row r="5" customFormat="false" ht="15" hidden="false" customHeight="false" outlineLevel="0" collapsed="false">
      <c r="A5" s="7" t="s">
        <v>80</v>
      </c>
      <c r="B5" s="7" t="s">
        <v>73</v>
      </c>
      <c r="C5" s="30" t="n">
        <v>2627.461</v>
      </c>
      <c r="D5" s="2" t="s">
        <v>184</v>
      </c>
      <c r="E5" s="2" t="s">
        <v>185</v>
      </c>
      <c r="F5" s="2" t="s">
        <v>186</v>
      </c>
      <c r="G5" s="2" t="s">
        <v>187</v>
      </c>
      <c r="H5" s="52" t="s">
        <v>188</v>
      </c>
    </row>
    <row r="6" customFormat="false" ht="15" hidden="false" customHeight="false" outlineLevel="0" collapsed="false">
      <c r="A6" s="7" t="s">
        <v>80</v>
      </c>
      <c r="B6" s="7" t="s">
        <v>74</v>
      </c>
      <c r="C6" s="30" t="n">
        <v>3025.468</v>
      </c>
      <c r="D6" s="2" t="s">
        <v>184</v>
      </c>
      <c r="E6" s="2" t="s">
        <v>185</v>
      </c>
      <c r="F6" s="2" t="s">
        <v>186</v>
      </c>
      <c r="G6" s="2" t="s">
        <v>187</v>
      </c>
      <c r="H6" s="52" t="s">
        <v>188</v>
      </c>
    </row>
    <row r="7" customFormat="false" ht="15" hidden="false" customHeight="false" outlineLevel="0" collapsed="false">
      <c r="A7" s="7" t="s">
        <v>80</v>
      </c>
      <c r="B7" s="7" t="s">
        <v>75</v>
      </c>
      <c r="C7" s="30" t="n">
        <v>3729.355</v>
      </c>
      <c r="D7" s="2" t="s">
        <v>184</v>
      </c>
      <c r="E7" s="2" t="s">
        <v>185</v>
      </c>
      <c r="F7" s="2" t="s">
        <v>189</v>
      </c>
      <c r="G7" s="2" t="s">
        <v>190</v>
      </c>
      <c r="H7" s="52" t="s">
        <v>188</v>
      </c>
    </row>
    <row r="8" customFormat="false" ht="15" hidden="false" customHeight="false" outlineLevel="0" collapsed="false">
      <c r="A8" s="7" t="s">
        <v>80</v>
      </c>
      <c r="B8" s="7" t="s">
        <v>76</v>
      </c>
      <c r="C8" s="30" t="n">
        <v>4260.485</v>
      </c>
      <c r="D8" s="2" t="s">
        <v>184</v>
      </c>
      <c r="E8" s="2" t="s">
        <v>185</v>
      </c>
      <c r="F8" s="2" t="s">
        <v>189</v>
      </c>
      <c r="G8" s="2" t="s">
        <v>190</v>
      </c>
      <c r="H8" s="52" t="s">
        <v>188</v>
      </c>
    </row>
    <row r="9" customFormat="false" ht="15" hidden="false" customHeight="false" outlineLevel="0" collapsed="false">
      <c r="A9" s="7" t="s">
        <v>80</v>
      </c>
      <c r="B9" s="7" t="s">
        <v>77</v>
      </c>
      <c r="C9" s="30" t="n">
        <v>5057.841</v>
      </c>
      <c r="D9" s="2" t="s">
        <v>184</v>
      </c>
      <c r="E9" s="2" t="s">
        <v>185</v>
      </c>
      <c r="F9" s="2" t="s">
        <v>189</v>
      </c>
      <c r="G9" s="2" t="s">
        <v>190</v>
      </c>
      <c r="H9" s="52" t="s">
        <v>188</v>
      </c>
    </row>
    <row r="10" customFormat="false" ht="15" hidden="false" customHeight="false" outlineLevel="0" collapsed="false">
      <c r="A10" s="7" t="s">
        <v>81</v>
      </c>
      <c r="B10" s="7" t="s">
        <v>73</v>
      </c>
      <c r="C10" s="30" t="n">
        <v>2019.879</v>
      </c>
      <c r="D10" s="2" t="s">
        <v>191</v>
      </c>
      <c r="E10" s="2" t="s">
        <v>185</v>
      </c>
      <c r="F10" s="2" t="s">
        <v>192</v>
      </c>
      <c r="G10" s="2" t="s">
        <v>193</v>
      </c>
      <c r="H10" s="52" t="s">
        <v>188</v>
      </c>
    </row>
    <row r="11" customFormat="false" ht="15" hidden="false" customHeight="false" outlineLevel="0" collapsed="false">
      <c r="A11" s="7" t="s">
        <v>81</v>
      </c>
      <c r="B11" s="7" t="s">
        <v>74</v>
      </c>
      <c r="C11" s="30" t="n">
        <v>2354.434</v>
      </c>
      <c r="D11" s="2" t="s">
        <v>191</v>
      </c>
      <c r="E11" s="2" t="s">
        <v>185</v>
      </c>
      <c r="F11" s="2" t="s">
        <v>194</v>
      </c>
      <c r="G11" s="2" t="s">
        <v>195</v>
      </c>
      <c r="H11" s="52" t="s">
        <v>188</v>
      </c>
    </row>
    <row r="12" customFormat="false" ht="15" hidden="false" customHeight="false" outlineLevel="0" collapsed="false">
      <c r="A12" s="7" t="s">
        <v>81</v>
      </c>
      <c r="B12" s="7" t="s">
        <v>75</v>
      </c>
      <c r="C12" s="30" t="n">
        <v>2941.238</v>
      </c>
      <c r="D12" s="2" t="s">
        <v>191</v>
      </c>
      <c r="E12" s="2" t="s">
        <v>185</v>
      </c>
      <c r="F12" s="2" t="s">
        <v>189</v>
      </c>
      <c r="G12" s="2" t="s">
        <v>190</v>
      </c>
      <c r="H12" s="52" t="s">
        <v>188</v>
      </c>
    </row>
    <row r="13" customFormat="false" ht="15" hidden="false" customHeight="false" outlineLevel="0" collapsed="false">
      <c r="A13" s="7" t="s">
        <v>81</v>
      </c>
      <c r="B13" s="7" t="s">
        <v>76</v>
      </c>
      <c r="C13" s="30" t="n">
        <v>3376.884</v>
      </c>
      <c r="D13" s="2" t="s">
        <v>191</v>
      </c>
      <c r="E13" s="2" t="s">
        <v>185</v>
      </c>
      <c r="F13" s="2" t="s">
        <v>189</v>
      </c>
      <c r="G13" s="2" t="s">
        <v>190</v>
      </c>
      <c r="H13" s="52" t="s">
        <v>188</v>
      </c>
    </row>
    <row r="14" customFormat="false" ht="15" hidden="false" customHeight="false" outlineLevel="0" collapsed="false">
      <c r="A14" s="7" t="s">
        <v>81</v>
      </c>
      <c r="B14" s="7" t="s">
        <v>77</v>
      </c>
      <c r="C14" s="30" t="n">
        <v>4019.076</v>
      </c>
      <c r="D14" s="2" t="s">
        <v>191</v>
      </c>
      <c r="E14" s="2" t="s">
        <v>185</v>
      </c>
      <c r="F14" s="2" t="s">
        <v>189</v>
      </c>
      <c r="G14" s="2" t="s">
        <v>190</v>
      </c>
      <c r="H14" s="52" t="s">
        <v>188</v>
      </c>
    </row>
    <row r="15" customFormat="false" ht="15" hidden="false" customHeight="false" outlineLevel="0" collapsed="false">
      <c r="A15" s="7" t="s">
        <v>82</v>
      </c>
      <c r="B15" s="7" t="s">
        <v>73</v>
      </c>
      <c r="C15" s="30" t="n">
        <v>607.582</v>
      </c>
      <c r="D15" s="2" t="s">
        <v>196</v>
      </c>
      <c r="E15" s="2" t="s">
        <v>197</v>
      </c>
      <c r="F15" s="2" t="s">
        <v>197</v>
      </c>
      <c r="G15" s="2" t="s">
        <v>197</v>
      </c>
    </row>
    <row r="16" customFormat="false" ht="15" hidden="false" customHeight="false" outlineLevel="0" collapsed="false">
      <c r="A16" s="7" t="s">
        <v>82</v>
      </c>
      <c r="B16" s="7" t="s">
        <v>74</v>
      </c>
      <c r="C16" s="30" t="n">
        <v>671.034</v>
      </c>
      <c r="D16" s="2" t="s">
        <v>196</v>
      </c>
      <c r="E16" s="2" t="s">
        <v>197</v>
      </c>
      <c r="F16" s="2" t="s">
        <v>197</v>
      </c>
      <c r="G16" s="2" t="s">
        <v>197</v>
      </c>
    </row>
    <row r="17" customFormat="false" ht="15" hidden="false" customHeight="false" outlineLevel="0" collapsed="false">
      <c r="A17" s="7" t="s">
        <v>82</v>
      </c>
      <c r="B17" s="7" t="s">
        <v>75</v>
      </c>
      <c r="C17" s="30" t="n">
        <v>788.117</v>
      </c>
      <c r="D17" s="2" t="s">
        <v>196</v>
      </c>
      <c r="E17" s="2" t="s">
        <v>197</v>
      </c>
      <c r="F17" s="2" t="s">
        <v>197</v>
      </c>
      <c r="G17" s="2" t="s">
        <v>197</v>
      </c>
    </row>
    <row r="18" customFormat="false" ht="15" hidden="false" customHeight="false" outlineLevel="0" collapsed="false">
      <c r="A18" s="7" t="s">
        <v>82</v>
      </c>
      <c r="B18" s="7" t="s">
        <v>76</v>
      </c>
      <c r="C18" s="30" t="n">
        <v>883.601</v>
      </c>
      <c r="D18" s="2" t="s">
        <v>196</v>
      </c>
      <c r="E18" s="2" t="s">
        <v>197</v>
      </c>
      <c r="F18" s="2" t="s">
        <v>197</v>
      </c>
      <c r="G18" s="2" t="s">
        <v>197</v>
      </c>
    </row>
    <row r="19" customFormat="false" ht="15" hidden="false" customHeight="false" outlineLevel="0" collapsed="false">
      <c r="A19" s="7" t="s">
        <v>82</v>
      </c>
      <c r="B19" s="7" t="s">
        <v>77</v>
      </c>
      <c r="C19" s="30" t="n">
        <v>1038.765</v>
      </c>
      <c r="D19" s="2" t="s">
        <v>196</v>
      </c>
      <c r="E19" s="2" t="s">
        <v>197</v>
      </c>
      <c r="F19" s="2" t="s">
        <v>197</v>
      </c>
      <c r="G19" s="2" t="s">
        <v>197</v>
      </c>
    </row>
    <row r="20" customFormat="false" ht="15" hidden="false" customHeight="false" outlineLevel="0" collapsed="false">
      <c r="A20" s="7" t="s">
        <v>84</v>
      </c>
      <c r="B20" s="7" t="s">
        <v>73</v>
      </c>
      <c r="C20" s="30" t="n">
        <v>151.761</v>
      </c>
      <c r="D20" s="2" t="s">
        <v>198</v>
      </c>
      <c r="E20" s="2" t="s">
        <v>185</v>
      </c>
      <c r="F20" s="2" t="s">
        <v>192</v>
      </c>
      <c r="G20" s="2" t="s">
        <v>193</v>
      </c>
      <c r="H20" s="52" t="s">
        <v>188</v>
      </c>
    </row>
    <row r="21" customFormat="false" ht="15" hidden="false" customHeight="false" outlineLevel="0" collapsed="false">
      <c r="A21" s="7" t="s">
        <v>84</v>
      </c>
      <c r="B21" s="7" t="s">
        <v>74</v>
      </c>
      <c r="C21" s="30" t="n">
        <v>158.805</v>
      </c>
      <c r="D21" s="2" t="s">
        <v>198</v>
      </c>
      <c r="E21" s="2" t="s">
        <v>185</v>
      </c>
      <c r="F21" s="2" t="s">
        <v>194</v>
      </c>
      <c r="G21" s="2" t="s">
        <v>195</v>
      </c>
      <c r="H21" s="52" t="s">
        <v>188</v>
      </c>
    </row>
    <row r="22" customFormat="false" ht="15" hidden="false" customHeight="false" outlineLevel="0" collapsed="false">
      <c r="A22" s="7" t="s">
        <v>84</v>
      </c>
      <c r="B22" s="7" t="s">
        <v>75</v>
      </c>
      <c r="C22" s="30" t="n">
        <v>263.005</v>
      </c>
      <c r="D22" s="2" t="s">
        <v>198</v>
      </c>
      <c r="E22" s="2" t="s">
        <v>185</v>
      </c>
      <c r="F22" s="2" t="s">
        <v>189</v>
      </c>
      <c r="G22" s="2" t="s">
        <v>190</v>
      </c>
      <c r="H22" s="52" t="s">
        <v>188</v>
      </c>
    </row>
    <row r="23" customFormat="false" ht="15" hidden="false" customHeight="false" outlineLevel="0" collapsed="false">
      <c r="A23" s="7" t="s">
        <v>84</v>
      </c>
      <c r="B23" s="7" t="s">
        <v>76</v>
      </c>
      <c r="C23" s="30" t="n">
        <v>225.143</v>
      </c>
      <c r="D23" s="2" t="s">
        <v>198</v>
      </c>
      <c r="E23" s="2" t="s">
        <v>185</v>
      </c>
      <c r="F23" s="2" t="s">
        <v>189</v>
      </c>
      <c r="G23" s="2" t="s">
        <v>190</v>
      </c>
      <c r="H23" s="52" t="s">
        <v>188</v>
      </c>
    </row>
    <row r="24" customFormat="false" ht="15" hidden="false" customHeight="false" outlineLevel="0" collapsed="false">
      <c r="A24" s="7" t="s">
        <v>84</v>
      </c>
      <c r="B24" s="7" t="s">
        <v>77</v>
      </c>
      <c r="C24" s="30" t="n">
        <v>269.82</v>
      </c>
      <c r="D24" s="2" t="s">
        <v>198</v>
      </c>
      <c r="E24" s="2" t="s">
        <v>185</v>
      </c>
      <c r="F24" s="2" t="s">
        <v>189</v>
      </c>
      <c r="G24" s="2" t="s">
        <v>190</v>
      </c>
      <c r="H24" s="52" t="s">
        <v>188</v>
      </c>
    </row>
    <row r="25" customFormat="false" ht="15" hidden="false" customHeight="false" outlineLevel="0" collapsed="false">
      <c r="A25" s="7" t="s">
        <v>85</v>
      </c>
      <c r="B25" s="7" t="s">
        <v>73</v>
      </c>
      <c r="C25" s="30" t="n">
        <v>260.465</v>
      </c>
      <c r="D25" s="2" t="s">
        <v>199</v>
      </c>
      <c r="E25" s="2" t="s">
        <v>185</v>
      </c>
      <c r="F25" s="2" t="s">
        <v>192</v>
      </c>
      <c r="G25" s="2" t="s">
        <v>193</v>
      </c>
      <c r="H25" s="52" t="s">
        <v>188</v>
      </c>
    </row>
    <row r="26" customFormat="false" ht="15" hidden="false" customHeight="false" outlineLevel="0" collapsed="false">
      <c r="A26" s="7" t="s">
        <v>85</v>
      </c>
      <c r="B26" s="7" t="s">
        <v>74</v>
      </c>
      <c r="C26" s="30" t="n">
        <v>296.825</v>
      </c>
      <c r="D26" s="2" t="s">
        <v>199</v>
      </c>
      <c r="E26" s="2" t="s">
        <v>185</v>
      </c>
      <c r="F26" s="2" t="s">
        <v>194</v>
      </c>
      <c r="G26" s="2" t="s">
        <v>195</v>
      </c>
      <c r="H26" s="52" t="s">
        <v>188</v>
      </c>
    </row>
    <row r="27" customFormat="false" ht="15" hidden="false" customHeight="false" outlineLevel="0" collapsed="false">
      <c r="A27" s="7" t="s">
        <v>85</v>
      </c>
      <c r="B27" s="7" t="s">
        <v>75</v>
      </c>
      <c r="C27" s="30" t="n">
        <v>255.367</v>
      </c>
      <c r="D27" s="2" t="s">
        <v>199</v>
      </c>
      <c r="E27" s="2" t="s">
        <v>185</v>
      </c>
      <c r="F27" s="2" t="s">
        <v>189</v>
      </c>
      <c r="G27" s="2" t="s">
        <v>190</v>
      </c>
      <c r="H27" s="52" t="s">
        <v>188</v>
      </c>
    </row>
    <row r="28" customFormat="false" ht="15" hidden="false" customHeight="false" outlineLevel="0" collapsed="false">
      <c r="A28" s="7" t="s">
        <v>85</v>
      </c>
      <c r="B28" s="7" t="s">
        <v>76</v>
      </c>
      <c r="C28" s="30" t="n">
        <v>358.304</v>
      </c>
      <c r="D28" s="2" t="s">
        <v>199</v>
      </c>
      <c r="E28" s="2" t="s">
        <v>185</v>
      </c>
      <c r="F28" s="2" t="s">
        <v>189</v>
      </c>
      <c r="G28" s="2" t="s">
        <v>190</v>
      </c>
      <c r="H28" s="52" t="s">
        <v>188</v>
      </c>
    </row>
    <row r="29" customFormat="false" ht="15" hidden="false" customHeight="false" outlineLevel="0" collapsed="false">
      <c r="A29" s="7" t="s">
        <v>85</v>
      </c>
      <c r="B29" s="7" t="s">
        <v>77</v>
      </c>
      <c r="C29" s="30" t="n">
        <v>425.306</v>
      </c>
      <c r="D29" s="2" t="s">
        <v>199</v>
      </c>
      <c r="E29" s="2" t="s">
        <v>185</v>
      </c>
      <c r="F29" s="2" t="s">
        <v>189</v>
      </c>
      <c r="G29" s="2" t="s">
        <v>190</v>
      </c>
      <c r="H29" s="52" t="s">
        <v>188</v>
      </c>
    </row>
    <row r="30" customFormat="false" ht="15" hidden="false" customHeight="false" outlineLevel="0" collapsed="false">
      <c r="A30" s="7" t="s">
        <v>86</v>
      </c>
      <c r="B30" s="7" t="s">
        <v>73</v>
      </c>
      <c r="C30" s="30" t="n">
        <v>6.849</v>
      </c>
      <c r="D30" s="2" t="s">
        <v>200</v>
      </c>
      <c r="E30" s="2" t="s">
        <v>185</v>
      </c>
      <c r="F30" s="2" t="s">
        <v>192</v>
      </c>
      <c r="G30" s="2" t="s">
        <v>193</v>
      </c>
      <c r="H30" s="52" t="s">
        <v>188</v>
      </c>
    </row>
    <row r="31" customFormat="false" ht="15" hidden="false" customHeight="false" outlineLevel="0" collapsed="false">
      <c r="A31" s="7" t="s">
        <v>86</v>
      </c>
      <c r="B31" s="7" t="s">
        <v>74</v>
      </c>
      <c r="C31" s="30" t="n">
        <v>8.931</v>
      </c>
      <c r="D31" s="2" t="s">
        <v>200</v>
      </c>
      <c r="E31" s="2" t="s">
        <v>185</v>
      </c>
      <c r="F31" s="2" t="s">
        <v>192</v>
      </c>
      <c r="G31" s="2" t="s">
        <v>193</v>
      </c>
      <c r="H31" s="52" t="s">
        <v>188</v>
      </c>
    </row>
    <row r="32" customFormat="false" ht="15" hidden="false" customHeight="false" outlineLevel="0" collapsed="false">
      <c r="A32" s="7" t="s">
        <v>86</v>
      </c>
      <c r="B32" s="7" t="s">
        <v>75</v>
      </c>
      <c r="C32" s="30" t="n">
        <v>8.087</v>
      </c>
      <c r="D32" s="2" t="s">
        <v>200</v>
      </c>
      <c r="E32" s="2" t="s">
        <v>185</v>
      </c>
      <c r="F32" s="2" t="s">
        <v>192</v>
      </c>
      <c r="G32" s="2" t="s">
        <v>193</v>
      </c>
      <c r="H32" s="52" t="s">
        <v>188</v>
      </c>
    </row>
    <row r="33" customFormat="false" ht="15" hidden="false" customHeight="false" outlineLevel="0" collapsed="false">
      <c r="A33" s="7" t="s">
        <v>86</v>
      </c>
      <c r="B33" s="7" t="s">
        <v>76</v>
      </c>
      <c r="C33" s="30" t="n">
        <v>8.286</v>
      </c>
      <c r="D33" s="2" t="s">
        <v>201</v>
      </c>
      <c r="E33" s="2" t="s">
        <v>185</v>
      </c>
      <c r="F33" s="2" t="s">
        <v>189</v>
      </c>
      <c r="G33" s="2" t="s">
        <v>190</v>
      </c>
      <c r="H33" s="52" t="s">
        <v>188</v>
      </c>
    </row>
    <row r="34" customFormat="false" ht="15" hidden="false" customHeight="false" outlineLevel="0" collapsed="false">
      <c r="A34" s="7" t="s">
        <v>86</v>
      </c>
      <c r="B34" s="7" t="s">
        <v>77</v>
      </c>
      <c r="C34" s="30" t="n">
        <v>7.988</v>
      </c>
      <c r="D34" s="2" t="s">
        <v>201</v>
      </c>
      <c r="E34" s="2" t="s">
        <v>185</v>
      </c>
      <c r="F34" s="2" t="s">
        <v>189</v>
      </c>
      <c r="G34" s="2" t="s">
        <v>190</v>
      </c>
      <c r="H34" s="52" t="s">
        <v>188</v>
      </c>
    </row>
    <row r="35" customFormat="false" ht="15" hidden="false" customHeight="false" outlineLevel="0" collapsed="false">
      <c r="A35" s="7" t="s">
        <v>87</v>
      </c>
      <c r="B35" s="7" t="s">
        <v>73</v>
      </c>
      <c r="C35" s="30" t="n">
        <v>258.004</v>
      </c>
      <c r="D35" s="2" t="s">
        <v>202</v>
      </c>
      <c r="E35" s="2" t="s">
        <v>185</v>
      </c>
      <c r="F35" s="2" t="s">
        <v>192</v>
      </c>
      <c r="G35" s="2" t="s">
        <v>193</v>
      </c>
      <c r="H35" s="52" t="s">
        <v>188</v>
      </c>
    </row>
    <row r="36" customFormat="false" ht="15" hidden="false" customHeight="false" outlineLevel="0" collapsed="false">
      <c r="A36" s="7" t="s">
        <v>87</v>
      </c>
      <c r="B36" s="7" t="s">
        <v>74</v>
      </c>
      <c r="C36" s="30" t="n">
        <v>289.089</v>
      </c>
      <c r="D36" s="2" t="s">
        <v>202</v>
      </c>
      <c r="E36" s="2" t="s">
        <v>185</v>
      </c>
      <c r="F36" s="2" t="s">
        <v>194</v>
      </c>
      <c r="G36" s="2" t="s">
        <v>195</v>
      </c>
      <c r="H36" s="52" t="s">
        <v>188</v>
      </c>
    </row>
    <row r="37" customFormat="false" ht="15" hidden="false" customHeight="false" outlineLevel="0" collapsed="false">
      <c r="A37" s="7" t="s">
        <v>87</v>
      </c>
      <c r="B37" s="7" t="s">
        <v>75</v>
      </c>
      <c r="C37" s="30" t="n">
        <v>272.762</v>
      </c>
      <c r="D37" s="2" t="s">
        <v>202</v>
      </c>
      <c r="E37" s="2" t="s">
        <v>185</v>
      </c>
      <c r="F37" s="2" t="s">
        <v>189</v>
      </c>
      <c r="G37" s="2" t="s">
        <v>190</v>
      </c>
      <c r="H37" s="52" t="s">
        <v>188</v>
      </c>
    </row>
    <row r="38" customFormat="false" ht="15" hidden="false" customHeight="false" outlineLevel="0" collapsed="false">
      <c r="A38" s="7" t="s">
        <v>87</v>
      </c>
      <c r="B38" s="7" t="s">
        <v>76</v>
      </c>
      <c r="C38" s="30" t="n">
        <v>386.094</v>
      </c>
      <c r="D38" s="2" t="s">
        <v>202</v>
      </c>
      <c r="E38" s="2" t="s">
        <v>185</v>
      </c>
      <c r="F38" s="2" t="s">
        <v>189</v>
      </c>
      <c r="G38" s="2" t="s">
        <v>190</v>
      </c>
      <c r="H38" s="52" t="s">
        <v>188</v>
      </c>
    </row>
    <row r="39" customFormat="false" ht="15" hidden="false" customHeight="false" outlineLevel="0" collapsed="false">
      <c r="A39" s="7" t="s">
        <v>87</v>
      </c>
      <c r="B39" s="7" t="s">
        <v>77</v>
      </c>
      <c r="C39" s="30" t="n">
        <v>455.622</v>
      </c>
      <c r="D39" s="2" t="s">
        <v>202</v>
      </c>
      <c r="E39" s="2" t="s">
        <v>185</v>
      </c>
      <c r="F39" s="2" t="s">
        <v>189</v>
      </c>
      <c r="G39" s="2" t="s">
        <v>190</v>
      </c>
      <c r="H39" s="52" t="s">
        <v>188</v>
      </c>
    </row>
    <row r="40" customFormat="false" ht="15" hidden="false" customHeight="false" outlineLevel="0" collapsed="false">
      <c r="A40" s="7" t="s">
        <v>88</v>
      </c>
      <c r="B40" s="7" t="s">
        <v>73</v>
      </c>
      <c r="C40" s="30" t="n">
        <v>60.279</v>
      </c>
      <c r="D40" s="2" t="s">
        <v>203</v>
      </c>
      <c r="E40" s="2" t="s">
        <v>185</v>
      </c>
      <c r="F40" s="2" t="s">
        <v>192</v>
      </c>
      <c r="G40" s="2" t="s">
        <v>193</v>
      </c>
      <c r="H40" s="52" t="s">
        <v>188</v>
      </c>
    </row>
    <row r="41" customFormat="false" ht="15" hidden="false" customHeight="false" outlineLevel="0" collapsed="false">
      <c r="A41" s="7" t="s">
        <v>88</v>
      </c>
      <c r="B41" s="7" t="s">
        <v>74</v>
      </c>
      <c r="C41" s="30" t="n">
        <v>64.437</v>
      </c>
      <c r="D41" s="2" t="s">
        <v>203</v>
      </c>
      <c r="E41" s="2" t="s">
        <v>185</v>
      </c>
      <c r="F41" s="2" t="s">
        <v>194</v>
      </c>
      <c r="G41" s="2" t="s">
        <v>195</v>
      </c>
      <c r="H41" s="52" t="s">
        <v>188</v>
      </c>
    </row>
    <row r="42" customFormat="false" ht="15" hidden="false" customHeight="false" outlineLevel="0" collapsed="false">
      <c r="A42" s="7" t="s">
        <v>88</v>
      </c>
      <c r="B42" s="7" t="s">
        <v>75</v>
      </c>
      <c r="C42" s="30" t="n">
        <v>62.912</v>
      </c>
      <c r="D42" s="2" t="s">
        <v>203</v>
      </c>
      <c r="E42" s="2" t="s">
        <v>185</v>
      </c>
      <c r="F42" s="2" t="s">
        <v>189</v>
      </c>
      <c r="G42" s="2" t="s">
        <v>190</v>
      </c>
      <c r="H42" s="52" t="s">
        <v>188</v>
      </c>
    </row>
    <row r="43" customFormat="false" ht="15" hidden="false" customHeight="false" outlineLevel="0" collapsed="false">
      <c r="A43" s="7" t="s">
        <v>88</v>
      </c>
      <c r="B43" s="7" t="s">
        <v>76</v>
      </c>
      <c r="C43" s="30" t="n">
        <v>87.636</v>
      </c>
      <c r="D43" s="2" t="s">
        <v>203</v>
      </c>
      <c r="E43" s="2" t="s">
        <v>185</v>
      </c>
      <c r="F43" s="2" t="s">
        <v>189</v>
      </c>
      <c r="G43" s="2" t="s">
        <v>190</v>
      </c>
      <c r="H43" s="52" t="s">
        <v>188</v>
      </c>
    </row>
    <row r="44" customFormat="false" ht="15" hidden="false" customHeight="false" outlineLevel="0" collapsed="false">
      <c r="A44" s="7" t="s">
        <v>88</v>
      </c>
      <c r="B44" s="7" t="s">
        <v>77</v>
      </c>
      <c r="C44" s="30" t="n">
        <v>111.358</v>
      </c>
      <c r="D44" s="2" t="s">
        <v>203</v>
      </c>
      <c r="E44" s="2" t="s">
        <v>185</v>
      </c>
      <c r="F44" s="2" t="s">
        <v>189</v>
      </c>
      <c r="G44" s="2" t="s">
        <v>190</v>
      </c>
      <c r="H44" s="52" t="s">
        <v>188</v>
      </c>
    </row>
    <row r="45" customFormat="false" ht="15" hidden="false" customHeight="false" outlineLevel="0" collapsed="false">
      <c r="A45" s="7" t="s">
        <v>89</v>
      </c>
      <c r="B45" s="7" t="s">
        <v>73</v>
      </c>
      <c r="C45" s="30" t="n">
        <v>194.652</v>
      </c>
      <c r="D45" s="2" t="s">
        <v>204</v>
      </c>
      <c r="E45" s="2" t="s">
        <v>185</v>
      </c>
      <c r="F45" s="2" t="s">
        <v>192</v>
      </c>
      <c r="G45" s="2" t="s">
        <v>193</v>
      </c>
      <c r="H45" s="52" t="s">
        <v>188</v>
      </c>
    </row>
    <row r="46" customFormat="false" ht="15" hidden="false" customHeight="false" outlineLevel="0" collapsed="false">
      <c r="A46" s="7" t="s">
        <v>89</v>
      </c>
      <c r="B46" s="7" t="s">
        <v>74</v>
      </c>
      <c r="C46" s="30" t="n">
        <v>224.681</v>
      </c>
      <c r="D46" s="2" t="s">
        <v>204</v>
      </c>
      <c r="E46" s="2" t="s">
        <v>185</v>
      </c>
      <c r="F46" s="2" t="s">
        <v>194</v>
      </c>
      <c r="G46" s="2" t="s">
        <v>195</v>
      </c>
      <c r="H46" s="52" t="s">
        <v>188</v>
      </c>
    </row>
    <row r="47" customFormat="false" ht="15" hidden="false" customHeight="false" outlineLevel="0" collapsed="false">
      <c r="A47" s="7" t="s">
        <v>89</v>
      </c>
      <c r="B47" s="7" t="s">
        <v>75</v>
      </c>
      <c r="C47" s="30" t="n">
        <v>209.399</v>
      </c>
      <c r="D47" s="2" t="s">
        <v>204</v>
      </c>
      <c r="E47" s="2" t="s">
        <v>185</v>
      </c>
      <c r="F47" s="2" t="s">
        <v>189</v>
      </c>
      <c r="G47" s="2" t="s">
        <v>190</v>
      </c>
      <c r="H47" s="52" t="s">
        <v>188</v>
      </c>
    </row>
    <row r="48" customFormat="false" ht="15" hidden="false" customHeight="false" outlineLevel="0" collapsed="false">
      <c r="A48" s="7" t="s">
        <v>89</v>
      </c>
      <c r="B48" s="7" t="s">
        <v>76</v>
      </c>
      <c r="C48" s="30" t="n">
        <v>297.973</v>
      </c>
      <c r="D48" s="2" t="s">
        <v>204</v>
      </c>
      <c r="E48" s="2" t="s">
        <v>185</v>
      </c>
      <c r="F48" s="2" t="s">
        <v>189</v>
      </c>
      <c r="G48" s="2" t="s">
        <v>190</v>
      </c>
      <c r="H48" s="52" t="s">
        <v>188</v>
      </c>
    </row>
    <row r="49" customFormat="false" ht="15" hidden="false" customHeight="false" outlineLevel="0" collapsed="false">
      <c r="A49" s="7" t="s">
        <v>89</v>
      </c>
      <c r="B49" s="7" t="s">
        <v>77</v>
      </c>
      <c r="C49" s="30" t="n">
        <v>343.971</v>
      </c>
      <c r="D49" s="2" t="s">
        <v>204</v>
      </c>
      <c r="E49" s="2" t="s">
        <v>185</v>
      </c>
      <c r="F49" s="2" t="s">
        <v>189</v>
      </c>
      <c r="G49" s="2" t="s">
        <v>190</v>
      </c>
      <c r="H49" s="52" t="s">
        <v>188</v>
      </c>
    </row>
    <row r="50" customFormat="false" ht="15" hidden="false" customHeight="false" outlineLevel="0" collapsed="false">
      <c r="A50" s="7" t="s">
        <v>90</v>
      </c>
      <c r="B50" s="7" t="s">
        <v>73</v>
      </c>
      <c r="C50" s="32" t="n">
        <v>3.42</v>
      </c>
      <c r="D50" s="2" t="s">
        <v>205</v>
      </c>
      <c r="E50" s="2" t="s">
        <v>185</v>
      </c>
      <c r="F50" s="2" t="s">
        <v>192</v>
      </c>
      <c r="G50" s="2" t="s">
        <v>193</v>
      </c>
      <c r="H50" s="52" t="s">
        <v>188</v>
      </c>
    </row>
    <row r="51" customFormat="false" ht="15" hidden="false" customHeight="false" outlineLevel="0" collapsed="false">
      <c r="A51" s="7" t="s">
        <v>90</v>
      </c>
      <c r="B51" s="7" t="s">
        <v>74</v>
      </c>
      <c r="C51" s="32" t="n">
        <v>3.95</v>
      </c>
      <c r="D51" s="2" t="s">
        <v>205</v>
      </c>
      <c r="E51" s="2" t="s">
        <v>185</v>
      </c>
      <c r="F51" s="2" t="s">
        <v>194</v>
      </c>
      <c r="G51" s="2" t="s">
        <v>195</v>
      </c>
      <c r="H51" s="52" t="s">
        <v>188</v>
      </c>
    </row>
    <row r="52" customFormat="false" ht="15" hidden="false" customHeight="false" outlineLevel="0" collapsed="false">
      <c r="A52" s="7" t="s">
        <v>90</v>
      </c>
      <c r="B52" s="7" t="s">
        <v>75</v>
      </c>
      <c r="C52" s="32" t="n">
        <v>3.65</v>
      </c>
      <c r="D52" s="2" t="s">
        <v>205</v>
      </c>
      <c r="E52" s="2" t="s">
        <v>185</v>
      </c>
      <c r="F52" s="2" t="s">
        <v>189</v>
      </c>
      <c r="G52" s="2" t="s">
        <v>190</v>
      </c>
      <c r="H52" s="52" t="s">
        <v>188</v>
      </c>
    </row>
    <row r="53" customFormat="false" ht="15" hidden="false" customHeight="false" outlineLevel="0" collapsed="false">
      <c r="A53" s="7" t="s">
        <v>90</v>
      </c>
      <c r="B53" s="7" t="s">
        <v>76</v>
      </c>
      <c r="C53" s="32" t="n">
        <v>5.12</v>
      </c>
      <c r="D53" s="2" t="s">
        <v>205</v>
      </c>
      <c r="E53" s="2" t="s">
        <v>185</v>
      </c>
      <c r="F53" s="2" t="s">
        <v>189</v>
      </c>
      <c r="G53" s="2" t="s">
        <v>190</v>
      </c>
      <c r="H53" s="52" t="s">
        <v>188</v>
      </c>
    </row>
    <row r="54" customFormat="false" ht="15" hidden="false" customHeight="false" outlineLevel="0" collapsed="false">
      <c r="A54" s="7" t="s">
        <v>90</v>
      </c>
      <c r="B54" s="7" t="s">
        <v>77</v>
      </c>
      <c r="C54" s="32" t="n">
        <v>5.84</v>
      </c>
      <c r="D54" s="2" t="s">
        <v>205</v>
      </c>
      <c r="E54" s="2" t="s">
        <v>185</v>
      </c>
      <c r="F54" s="2" t="s">
        <v>189</v>
      </c>
      <c r="G54" s="2" t="s">
        <v>190</v>
      </c>
      <c r="H54" s="52" t="s">
        <v>188</v>
      </c>
    </row>
    <row r="55" customFormat="false" ht="15" hidden="false" customHeight="false" outlineLevel="0" collapsed="false">
      <c r="A55" s="7" t="s">
        <v>91</v>
      </c>
      <c r="B55" s="7" t="s">
        <v>73</v>
      </c>
      <c r="C55" s="30" t="n">
        <v>56.925</v>
      </c>
      <c r="D55" s="2" t="s">
        <v>206</v>
      </c>
      <c r="E55" s="2" t="s">
        <v>185</v>
      </c>
      <c r="F55" s="2" t="s">
        <v>192</v>
      </c>
      <c r="G55" s="2" t="s">
        <v>193</v>
      </c>
      <c r="H55" s="52" t="s">
        <v>188</v>
      </c>
    </row>
    <row r="56" customFormat="false" ht="15" hidden="false" customHeight="false" outlineLevel="0" collapsed="false">
      <c r="A56" s="7" t="s">
        <v>91</v>
      </c>
      <c r="B56" s="7" t="s">
        <v>74</v>
      </c>
      <c r="C56" s="30" t="n">
        <v>56.871</v>
      </c>
      <c r="D56" s="2" t="s">
        <v>206</v>
      </c>
      <c r="E56" s="2" t="s">
        <v>185</v>
      </c>
      <c r="F56" s="2" t="s">
        <v>194</v>
      </c>
      <c r="G56" s="2" t="s">
        <v>195</v>
      </c>
      <c r="H56" s="52" t="s">
        <v>188</v>
      </c>
    </row>
    <row r="57" customFormat="false" ht="15" hidden="false" customHeight="false" outlineLevel="0" collapsed="false">
      <c r="A57" s="7" t="s">
        <v>91</v>
      </c>
      <c r="B57" s="7" t="s">
        <v>75</v>
      </c>
      <c r="C57" s="30" t="n">
        <v>57.323</v>
      </c>
      <c r="D57" s="2" t="s">
        <v>206</v>
      </c>
      <c r="E57" s="2" t="s">
        <v>185</v>
      </c>
      <c r="F57" s="2" t="s">
        <v>189</v>
      </c>
      <c r="G57" s="2" t="s">
        <v>190</v>
      </c>
      <c r="H57" s="52" t="s">
        <v>188</v>
      </c>
    </row>
    <row r="58" customFormat="false" ht="15" hidden="false" customHeight="false" outlineLevel="0" collapsed="false">
      <c r="A58" s="7" t="s">
        <v>91</v>
      </c>
      <c r="B58" s="7" t="s">
        <v>76</v>
      </c>
      <c r="C58" s="30" t="n">
        <v>58.24</v>
      </c>
      <c r="D58" s="2" t="s">
        <v>206</v>
      </c>
      <c r="E58" s="2" t="s">
        <v>185</v>
      </c>
      <c r="F58" s="2" t="s">
        <v>189</v>
      </c>
      <c r="G58" s="2" t="s">
        <v>190</v>
      </c>
      <c r="H58" s="52" t="s">
        <v>188</v>
      </c>
    </row>
    <row r="59" customFormat="false" ht="15" hidden="false" customHeight="false" outlineLevel="0" collapsed="false">
      <c r="A59" s="7" t="s">
        <v>91</v>
      </c>
      <c r="B59" s="7" t="s">
        <v>77</v>
      </c>
      <c r="C59" s="30" t="n">
        <v>58.873</v>
      </c>
      <c r="D59" s="2" t="s">
        <v>206</v>
      </c>
      <c r="E59" s="2" t="s">
        <v>185</v>
      </c>
      <c r="F59" s="2" t="s">
        <v>189</v>
      </c>
      <c r="G59" s="2" t="s">
        <v>190</v>
      </c>
      <c r="H59" s="52" t="s">
        <v>188</v>
      </c>
    </row>
    <row r="60" customFormat="false" ht="15" hidden="false" customHeight="false" outlineLevel="0" collapsed="false">
      <c r="A60" s="7" t="s">
        <v>93</v>
      </c>
      <c r="B60" s="7" t="s">
        <v>73</v>
      </c>
      <c r="C60" s="30" t="n">
        <v>275.684</v>
      </c>
      <c r="D60" s="2" t="s">
        <v>207</v>
      </c>
      <c r="E60" s="2" t="s">
        <v>185</v>
      </c>
      <c r="F60" s="2" t="s">
        <v>192</v>
      </c>
      <c r="G60" s="2" t="s">
        <v>193</v>
      </c>
      <c r="H60" s="52" t="s">
        <v>188</v>
      </c>
    </row>
    <row r="61" customFormat="false" ht="15" hidden="false" customHeight="false" outlineLevel="0" collapsed="false">
      <c r="A61" s="7" t="s">
        <v>93</v>
      </c>
      <c r="B61" s="7" t="s">
        <v>74</v>
      </c>
      <c r="C61" s="30" t="n">
        <v>272.513</v>
      </c>
      <c r="D61" s="2" t="s">
        <v>207</v>
      </c>
      <c r="E61" s="2" t="s">
        <v>185</v>
      </c>
      <c r="F61" s="2" t="s">
        <v>194</v>
      </c>
      <c r="G61" s="2" t="s">
        <v>195</v>
      </c>
      <c r="H61" s="52" t="s">
        <v>188</v>
      </c>
    </row>
    <row r="62" customFormat="false" ht="15" hidden="false" customHeight="false" outlineLevel="0" collapsed="false">
      <c r="A62" s="7" t="s">
        <v>93</v>
      </c>
      <c r="B62" s="7" t="s">
        <v>75</v>
      </c>
      <c r="C62" s="30" t="n">
        <v>376.666</v>
      </c>
      <c r="D62" s="2" t="s">
        <v>207</v>
      </c>
      <c r="E62" s="2" t="s">
        <v>185</v>
      </c>
      <c r="F62" s="2" t="s">
        <v>189</v>
      </c>
      <c r="G62" s="2" t="s">
        <v>190</v>
      </c>
      <c r="H62" s="52" t="s">
        <v>188</v>
      </c>
    </row>
    <row r="63" customFormat="false" ht="15" hidden="false" customHeight="false" outlineLevel="0" collapsed="false">
      <c r="A63" s="7" t="s">
        <v>93</v>
      </c>
      <c r="B63" s="7" t="s">
        <v>76</v>
      </c>
      <c r="C63" s="30" t="n">
        <v>347.186</v>
      </c>
      <c r="D63" s="2" t="s">
        <v>207</v>
      </c>
      <c r="E63" s="2" t="s">
        <v>185</v>
      </c>
      <c r="F63" s="2" t="s">
        <v>189</v>
      </c>
      <c r="G63" s="2" t="s">
        <v>190</v>
      </c>
      <c r="H63" s="52" t="s">
        <v>188</v>
      </c>
    </row>
    <row r="64" customFormat="false" ht="15" hidden="false" customHeight="false" outlineLevel="0" collapsed="false">
      <c r="A64" s="7" t="s">
        <v>93</v>
      </c>
      <c r="B64" s="7" t="s">
        <v>77</v>
      </c>
      <c r="C64" s="30" t="n">
        <v>564.27</v>
      </c>
      <c r="D64" s="2" t="s">
        <v>207</v>
      </c>
      <c r="E64" s="2" t="s">
        <v>185</v>
      </c>
      <c r="F64" s="2" t="s">
        <v>189</v>
      </c>
      <c r="G64" s="2" t="s">
        <v>190</v>
      </c>
      <c r="H64" s="52" t="s">
        <v>188</v>
      </c>
    </row>
    <row r="65" customFormat="false" ht="15" hidden="false" customHeight="false" outlineLevel="0" collapsed="false">
      <c r="A65" s="7" t="s">
        <v>94</v>
      </c>
      <c r="B65" s="7" t="s">
        <v>73</v>
      </c>
      <c r="C65" s="30" t="n">
        <v>55.985</v>
      </c>
      <c r="D65" s="2" t="s">
        <v>208</v>
      </c>
      <c r="E65" s="2" t="s">
        <v>185</v>
      </c>
      <c r="F65" s="2" t="s">
        <v>192</v>
      </c>
      <c r="G65" s="2" t="s">
        <v>193</v>
      </c>
      <c r="H65" s="52" t="s">
        <v>188</v>
      </c>
    </row>
    <row r="66" customFormat="false" ht="15" hidden="false" customHeight="false" outlineLevel="0" collapsed="false">
      <c r="A66" s="7" t="s">
        <v>94</v>
      </c>
      <c r="B66" s="7" t="s">
        <v>74</v>
      </c>
      <c r="C66" s="30" t="n">
        <v>62.355</v>
      </c>
      <c r="D66" s="2" t="s">
        <v>208</v>
      </c>
      <c r="E66" s="2" t="s">
        <v>185</v>
      </c>
      <c r="F66" s="2" t="s">
        <v>194</v>
      </c>
      <c r="G66" s="2" t="s">
        <v>195</v>
      </c>
      <c r="H66" s="52" t="s">
        <v>188</v>
      </c>
    </row>
    <row r="67" customFormat="false" ht="15" hidden="false" customHeight="false" outlineLevel="0" collapsed="false">
      <c r="A67" s="7" t="s">
        <v>94</v>
      </c>
      <c r="B67" s="7" t="s">
        <v>75</v>
      </c>
      <c r="C67" s="30" t="n">
        <v>72.387</v>
      </c>
      <c r="D67" s="2" t="s">
        <v>208</v>
      </c>
      <c r="E67" s="2" t="s">
        <v>185</v>
      </c>
      <c r="F67" s="2" t="s">
        <v>189</v>
      </c>
      <c r="G67" s="2" t="s">
        <v>190</v>
      </c>
      <c r="H67" s="52" t="s">
        <v>188</v>
      </c>
    </row>
    <row r="68" customFormat="false" ht="15" hidden="false" customHeight="false" outlineLevel="0" collapsed="false">
      <c r="A68" s="7" t="s">
        <v>94</v>
      </c>
      <c r="B68" s="7" t="s">
        <v>76</v>
      </c>
      <c r="C68" s="30" t="n">
        <v>84.138</v>
      </c>
      <c r="D68" s="2" t="s">
        <v>208</v>
      </c>
      <c r="E68" s="2" t="s">
        <v>185</v>
      </c>
      <c r="F68" s="2" t="s">
        <v>189</v>
      </c>
      <c r="G68" s="2" t="s">
        <v>190</v>
      </c>
      <c r="H68" s="52" t="s">
        <v>188</v>
      </c>
    </row>
    <row r="69" customFormat="false" ht="15" hidden="false" customHeight="false" outlineLevel="0" collapsed="false">
      <c r="A69" s="7" t="s">
        <v>94</v>
      </c>
      <c r="B69" s="7" t="s">
        <v>77</v>
      </c>
      <c r="C69" s="30" t="n">
        <v>104.327</v>
      </c>
      <c r="D69" s="2" t="s">
        <v>208</v>
      </c>
      <c r="E69" s="2" t="s">
        <v>185</v>
      </c>
      <c r="F69" s="2" t="s">
        <v>189</v>
      </c>
      <c r="G69" s="2" t="s">
        <v>190</v>
      </c>
      <c r="H69" s="52" t="s">
        <v>188</v>
      </c>
    </row>
    <row r="70" customFormat="false" ht="15" hidden="false" customHeight="false" outlineLevel="0" collapsed="false">
      <c r="A70" s="7" t="s">
        <v>96</v>
      </c>
      <c r="B70" s="7" t="s">
        <v>73</v>
      </c>
      <c r="C70" s="30" t="n">
        <v>18.678</v>
      </c>
      <c r="D70" s="2" t="s">
        <v>209</v>
      </c>
      <c r="E70" s="2" t="s">
        <v>185</v>
      </c>
      <c r="F70" s="2" t="s">
        <v>192</v>
      </c>
      <c r="G70" s="2" t="s">
        <v>193</v>
      </c>
      <c r="H70" s="52" t="s">
        <v>188</v>
      </c>
    </row>
    <row r="71" customFormat="false" ht="15" hidden="false" customHeight="false" outlineLevel="0" collapsed="false">
      <c r="A71" s="7" t="s">
        <v>96</v>
      </c>
      <c r="B71" s="7" t="s">
        <v>74</v>
      </c>
      <c r="C71" s="30" t="n">
        <v>22.72</v>
      </c>
      <c r="D71" s="2" t="s">
        <v>209</v>
      </c>
      <c r="E71" s="2" t="s">
        <v>185</v>
      </c>
      <c r="F71" s="2" t="s">
        <v>194</v>
      </c>
      <c r="G71" s="2" t="s">
        <v>195</v>
      </c>
      <c r="H71" s="52" t="s">
        <v>188</v>
      </c>
    </row>
    <row r="72" customFormat="false" ht="15" hidden="false" customHeight="false" outlineLevel="0" collapsed="false">
      <c r="A72" s="7" t="s">
        <v>96</v>
      </c>
      <c r="B72" s="7" t="s">
        <v>75</v>
      </c>
      <c r="C72" s="30" t="n">
        <v>30.767</v>
      </c>
      <c r="D72" s="2" t="s">
        <v>209</v>
      </c>
      <c r="E72" s="2" t="s">
        <v>185</v>
      </c>
      <c r="F72" s="2" t="s">
        <v>189</v>
      </c>
      <c r="G72" s="2" t="s">
        <v>190</v>
      </c>
      <c r="H72" s="52" t="s">
        <v>188</v>
      </c>
    </row>
    <row r="73" customFormat="false" ht="15" hidden="false" customHeight="false" outlineLevel="0" collapsed="false">
      <c r="A73" s="7" t="s">
        <v>96</v>
      </c>
      <c r="B73" s="7" t="s">
        <v>76</v>
      </c>
      <c r="C73" s="30" t="n">
        <v>36.226</v>
      </c>
      <c r="D73" s="2" t="s">
        <v>209</v>
      </c>
      <c r="E73" s="2" t="s">
        <v>185</v>
      </c>
      <c r="F73" s="2" t="s">
        <v>189</v>
      </c>
      <c r="G73" s="2" t="s">
        <v>190</v>
      </c>
      <c r="H73" s="52" t="s">
        <v>188</v>
      </c>
    </row>
    <row r="74" customFormat="false" ht="15" hidden="false" customHeight="false" outlineLevel="0" collapsed="false">
      <c r="A74" s="7" t="s">
        <v>96</v>
      </c>
      <c r="B74" s="7" t="s">
        <v>77</v>
      </c>
      <c r="C74" s="30" t="n">
        <v>48.299</v>
      </c>
      <c r="D74" s="2" t="s">
        <v>209</v>
      </c>
      <c r="E74" s="2" t="s">
        <v>185</v>
      </c>
      <c r="F74" s="2" t="s">
        <v>189</v>
      </c>
      <c r="G74" s="2" t="s">
        <v>190</v>
      </c>
      <c r="H74" s="52" t="s">
        <v>188</v>
      </c>
    </row>
    <row r="75" customFormat="false" ht="15" hidden="false" customHeight="false" outlineLevel="0" collapsed="false">
      <c r="A75" s="7" t="s">
        <v>97</v>
      </c>
      <c r="B75" s="7" t="s">
        <v>73</v>
      </c>
      <c r="C75" s="30" t="n">
        <v>11.548</v>
      </c>
      <c r="D75" s="2" t="s">
        <v>210</v>
      </c>
      <c r="E75" s="2" t="s">
        <v>185</v>
      </c>
      <c r="F75" s="2" t="s">
        <v>192</v>
      </c>
      <c r="G75" s="2" t="s">
        <v>193</v>
      </c>
      <c r="H75" s="52" t="s">
        <v>188</v>
      </c>
    </row>
    <row r="76" customFormat="false" ht="15" hidden="false" customHeight="false" outlineLevel="0" collapsed="false">
      <c r="A76" s="7" t="s">
        <v>97</v>
      </c>
      <c r="B76" s="7" t="s">
        <v>74</v>
      </c>
      <c r="C76" s="30" t="n">
        <v>12.168</v>
      </c>
      <c r="D76" s="2" t="s">
        <v>210</v>
      </c>
      <c r="E76" s="2" t="s">
        <v>185</v>
      </c>
      <c r="F76" s="2" t="s">
        <v>194</v>
      </c>
      <c r="G76" s="2" t="s">
        <v>195</v>
      </c>
      <c r="H76" s="52" t="s">
        <v>188</v>
      </c>
    </row>
    <row r="77" customFormat="false" ht="15" hidden="false" customHeight="false" outlineLevel="0" collapsed="false">
      <c r="A77" s="7" t="s">
        <v>97</v>
      </c>
      <c r="B77" s="7" t="s">
        <v>75</v>
      </c>
      <c r="C77" s="30" t="n">
        <v>12.89</v>
      </c>
      <c r="D77" s="2" t="s">
        <v>210</v>
      </c>
      <c r="E77" s="2" t="s">
        <v>185</v>
      </c>
      <c r="F77" s="2" t="s">
        <v>189</v>
      </c>
      <c r="G77" s="2" t="s">
        <v>190</v>
      </c>
      <c r="H77" s="52" t="s">
        <v>188</v>
      </c>
    </row>
    <row r="78" customFormat="false" ht="15" hidden="false" customHeight="false" outlineLevel="0" collapsed="false">
      <c r="A78" s="7" t="s">
        <v>97</v>
      </c>
      <c r="B78" s="7" t="s">
        <v>76</v>
      </c>
      <c r="C78" s="30" t="n">
        <v>13.671</v>
      </c>
      <c r="D78" s="2" t="s">
        <v>210</v>
      </c>
      <c r="E78" s="2" t="s">
        <v>185</v>
      </c>
      <c r="F78" s="2" t="s">
        <v>189</v>
      </c>
      <c r="G78" s="2" t="s">
        <v>190</v>
      </c>
      <c r="H78" s="52" t="s">
        <v>188</v>
      </c>
    </row>
    <row r="79" customFormat="false" ht="15" hidden="false" customHeight="false" outlineLevel="0" collapsed="false">
      <c r="A79" s="7" t="s">
        <v>97</v>
      </c>
      <c r="B79" s="7" t="s">
        <v>77</v>
      </c>
      <c r="C79" s="30" t="n">
        <v>14.41</v>
      </c>
      <c r="D79" s="2" t="s">
        <v>210</v>
      </c>
      <c r="E79" s="2" t="s">
        <v>185</v>
      </c>
      <c r="F79" s="2" t="s">
        <v>189</v>
      </c>
      <c r="G79" s="2" t="s">
        <v>190</v>
      </c>
      <c r="H79" s="52" t="s">
        <v>188</v>
      </c>
    </row>
    <row r="80" customFormat="false" ht="15" hidden="false" customHeight="false" outlineLevel="0" collapsed="false">
      <c r="A80" s="7" t="s">
        <v>98</v>
      </c>
      <c r="B80" s="7" t="s">
        <v>73</v>
      </c>
      <c r="C80" s="30" t="n">
        <v>10.118</v>
      </c>
      <c r="D80" s="2" t="s">
        <v>211</v>
      </c>
      <c r="E80" s="2" t="s">
        <v>185</v>
      </c>
      <c r="F80" s="2" t="s">
        <v>192</v>
      </c>
      <c r="G80" s="2" t="s">
        <v>193</v>
      </c>
      <c r="H80" s="52" t="s">
        <v>188</v>
      </c>
    </row>
    <row r="81" customFormat="false" ht="15" hidden="false" customHeight="false" outlineLevel="0" collapsed="false">
      <c r="A81" s="7" t="s">
        <v>98</v>
      </c>
      <c r="B81" s="7" t="s">
        <v>74</v>
      </c>
      <c r="C81" s="30" t="n">
        <v>29.882</v>
      </c>
      <c r="D81" s="2" t="s">
        <v>211</v>
      </c>
      <c r="E81" s="2" t="s">
        <v>185</v>
      </c>
      <c r="F81" s="2" t="s">
        <v>194</v>
      </c>
      <c r="G81" s="2" t="s">
        <v>195</v>
      </c>
      <c r="H81" s="52" t="s">
        <v>188</v>
      </c>
    </row>
    <row r="82" customFormat="false" ht="15" hidden="false" customHeight="false" outlineLevel="0" collapsed="false">
      <c r="A82" s="7" t="s">
        <v>98</v>
      </c>
      <c r="B82" s="7" t="s">
        <v>75</v>
      </c>
      <c r="C82" s="30" t="n">
        <v>0</v>
      </c>
      <c r="D82" s="2" t="s">
        <v>211</v>
      </c>
      <c r="E82" s="2" t="s">
        <v>185</v>
      </c>
      <c r="F82" s="2" t="s">
        <v>189</v>
      </c>
      <c r="G82" s="2" t="s">
        <v>190</v>
      </c>
      <c r="H82" s="52" t="s">
        <v>188</v>
      </c>
    </row>
    <row r="83" customFormat="false" ht="15" hidden="false" customHeight="false" outlineLevel="0" collapsed="false">
      <c r="A83" s="7" t="s">
        <v>98</v>
      </c>
      <c r="B83" s="7" t="s">
        <v>76</v>
      </c>
      <c r="C83" s="30" t="n">
        <v>0</v>
      </c>
      <c r="D83" s="2" t="s">
        <v>211</v>
      </c>
      <c r="E83" s="2" t="s">
        <v>185</v>
      </c>
      <c r="F83" s="2" t="s">
        <v>189</v>
      </c>
      <c r="G83" s="2" t="s">
        <v>190</v>
      </c>
      <c r="H83" s="52" t="s">
        <v>188</v>
      </c>
    </row>
    <row r="84" customFormat="false" ht="15" hidden="false" customHeight="false" outlineLevel="0" collapsed="false">
      <c r="A84" s="7" t="s">
        <v>98</v>
      </c>
      <c r="B84" s="7" t="s">
        <v>77</v>
      </c>
      <c r="C84" s="30" t="n">
        <v>20</v>
      </c>
      <c r="D84" s="2" t="s">
        <v>211</v>
      </c>
      <c r="E84" s="2" t="s">
        <v>185</v>
      </c>
      <c r="F84" s="2" t="s">
        <v>189</v>
      </c>
      <c r="G84" s="2" t="s">
        <v>190</v>
      </c>
      <c r="H84" s="52" t="s">
        <v>188</v>
      </c>
    </row>
    <row r="85" customFormat="false" ht="15" hidden="false" customHeight="false" outlineLevel="0" collapsed="false">
      <c r="A85" s="7" t="s">
        <v>100</v>
      </c>
      <c r="B85" s="7" t="s">
        <v>73</v>
      </c>
      <c r="C85" s="30" t="n">
        <v>262.201</v>
      </c>
      <c r="D85" s="2" t="s">
        <v>212</v>
      </c>
      <c r="E85" s="2" t="s">
        <v>185</v>
      </c>
      <c r="F85" s="2" t="s">
        <v>186</v>
      </c>
      <c r="G85" s="2" t="s">
        <v>187</v>
      </c>
      <c r="H85" s="52" t="s">
        <v>188</v>
      </c>
    </row>
    <row r="86" customFormat="false" ht="15" hidden="false" customHeight="false" outlineLevel="0" collapsed="false">
      <c r="A86" s="7" t="s">
        <v>100</v>
      </c>
      <c r="B86" s="7" t="s">
        <v>74</v>
      </c>
      <c r="C86" s="30" t="n">
        <v>316.27</v>
      </c>
      <c r="D86" s="2" t="s">
        <v>212</v>
      </c>
      <c r="E86" s="2" t="s">
        <v>185</v>
      </c>
      <c r="F86" s="2" t="s">
        <v>192</v>
      </c>
      <c r="G86" s="2" t="s">
        <v>193</v>
      </c>
      <c r="H86" s="52" t="s">
        <v>188</v>
      </c>
    </row>
    <row r="87" customFormat="false" ht="15" hidden="false" customHeight="false" outlineLevel="0" collapsed="false">
      <c r="A87" s="7" t="s">
        <v>100</v>
      </c>
      <c r="B87" s="7" t="s">
        <v>75</v>
      </c>
      <c r="C87" s="30" t="n">
        <v>509.626</v>
      </c>
      <c r="D87" s="2" t="s">
        <v>212</v>
      </c>
      <c r="E87" s="2" t="s">
        <v>185</v>
      </c>
      <c r="F87" s="2" t="s">
        <v>194</v>
      </c>
      <c r="G87" s="2" t="s">
        <v>195</v>
      </c>
      <c r="H87" s="52" t="s">
        <v>188</v>
      </c>
    </row>
    <row r="88" customFormat="false" ht="15" hidden="false" customHeight="false" outlineLevel="0" collapsed="false">
      <c r="A88" s="7" t="s">
        <v>100</v>
      </c>
      <c r="B88" s="7" t="s">
        <v>76</v>
      </c>
      <c r="C88" s="30" t="n">
        <v>464.598</v>
      </c>
      <c r="D88" s="2" t="s">
        <v>212</v>
      </c>
      <c r="E88" s="2" t="s">
        <v>185</v>
      </c>
      <c r="F88" s="2" t="s">
        <v>189</v>
      </c>
      <c r="G88" s="2" t="s">
        <v>190</v>
      </c>
      <c r="H88" s="52" t="s">
        <v>188</v>
      </c>
    </row>
    <row r="89" customFormat="false" ht="15" hidden="false" customHeight="false" outlineLevel="0" collapsed="false">
      <c r="A89" s="7" t="s">
        <v>100</v>
      </c>
      <c r="B89" s="7" t="s">
        <v>77</v>
      </c>
      <c r="C89" s="30" t="n">
        <v>503.881</v>
      </c>
      <c r="D89" s="2" t="s">
        <v>212</v>
      </c>
      <c r="E89" s="2" t="s">
        <v>185</v>
      </c>
      <c r="F89" s="2" t="s">
        <v>189</v>
      </c>
      <c r="G89" s="2" t="s">
        <v>190</v>
      </c>
      <c r="H89" s="52" t="s">
        <v>188</v>
      </c>
    </row>
    <row r="90" customFormat="false" ht="15" hidden="false" customHeight="false" outlineLevel="0" collapsed="false">
      <c r="A90" s="7" t="s">
        <v>101</v>
      </c>
      <c r="B90" s="7" t="s">
        <v>73</v>
      </c>
      <c r="C90" s="30" t="n">
        <v>13.763</v>
      </c>
      <c r="D90" s="2" t="s">
        <v>213</v>
      </c>
      <c r="E90" s="2" t="s">
        <v>185</v>
      </c>
      <c r="F90" s="2" t="s">
        <v>186</v>
      </c>
      <c r="G90" s="2" t="s">
        <v>187</v>
      </c>
      <c r="H90" s="52" t="s">
        <v>188</v>
      </c>
    </row>
    <row r="91" customFormat="false" ht="15" hidden="false" customHeight="false" outlineLevel="0" collapsed="false">
      <c r="A91" s="7" t="s">
        <v>101</v>
      </c>
      <c r="B91" s="7" t="s">
        <v>74</v>
      </c>
      <c r="C91" s="30" t="n">
        <v>15.441</v>
      </c>
      <c r="D91" s="2" t="s">
        <v>213</v>
      </c>
      <c r="E91" s="2" t="s">
        <v>185</v>
      </c>
      <c r="F91" s="2" t="s">
        <v>192</v>
      </c>
      <c r="G91" s="2" t="s">
        <v>193</v>
      </c>
      <c r="H91" s="52" t="s">
        <v>188</v>
      </c>
    </row>
    <row r="92" customFormat="false" ht="15" hidden="false" customHeight="false" outlineLevel="0" collapsed="false">
      <c r="A92" s="7" t="s">
        <v>101</v>
      </c>
      <c r="B92" s="7" t="s">
        <v>75</v>
      </c>
      <c r="C92" s="30" t="n">
        <v>17.229</v>
      </c>
      <c r="D92" s="2" t="s">
        <v>213</v>
      </c>
      <c r="E92" s="2" t="s">
        <v>185</v>
      </c>
      <c r="F92" s="2" t="s">
        <v>194</v>
      </c>
      <c r="G92" s="2" t="s">
        <v>195</v>
      </c>
      <c r="H92" s="52" t="s">
        <v>188</v>
      </c>
    </row>
    <row r="93" customFormat="false" ht="15" hidden="false" customHeight="false" outlineLevel="0" collapsed="false">
      <c r="A93" s="7" t="s">
        <v>101</v>
      </c>
      <c r="B93" s="7" t="s">
        <v>76</v>
      </c>
      <c r="C93" s="30" t="n">
        <v>62.255</v>
      </c>
      <c r="D93" s="2" t="s">
        <v>213</v>
      </c>
      <c r="E93" s="2" t="s">
        <v>185</v>
      </c>
      <c r="F93" s="2" t="s">
        <v>189</v>
      </c>
      <c r="G93" s="2" t="s">
        <v>190</v>
      </c>
      <c r="H93" s="52" t="s">
        <v>188</v>
      </c>
    </row>
    <row r="94" customFormat="false" ht="15" hidden="false" customHeight="false" outlineLevel="0" collapsed="false">
      <c r="A94" s="7" t="s">
        <v>101</v>
      </c>
      <c r="B94" s="7" t="s">
        <v>77</v>
      </c>
      <c r="C94" s="30" t="n">
        <v>68.506</v>
      </c>
      <c r="D94" s="2" t="s">
        <v>213</v>
      </c>
      <c r="E94" s="2" t="s">
        <v>185</v>
      </c>
      <c r="F94" s="2" t="s">
        <v>189</v>
      </c>
      <c r="G94" s="2" t="s">
        <v>190</v>
      </c>
      <c r="H94" s="52" t="s">
        <v>188</v>
      </c>
    </row>
    <row r="95" customFormat="false" ht="15" hidden="false" customHeight="false" outlineLevel="0" collapsed="false">
      <c r="A95" s="7" t="s">
        <v>102</v>
      </c>
      <c r="B95" s="7" t="s">
        <v>73</v>
      </c>
      <c r="C95" s="30" t="n">
        <v>639.709</v>
      </c>
      <c r="D95" s="2" t="s">
        <v>214</v>
      </c>
      <c r="E95" s="2" t="s">
        <v>185</v>
      </c>
      <c r="F95" s="2" t="s">
        <v>186</v>
      </c>
      <c r="G95" s="2" t="s">
        <v>187</v>
      </c>
      <c r="H95" s="52" t="s">
        <v>188</v>
      </c>
    </row>
    <row r="96" customFormat="false" ht="15" hidden="false" customHeight="false" outlineLevel="0" collapsed="false">
      <c r="A96" s="7" t="s">
        <v>102</v>
      </c>
      <c r="B96" s="7" t="s">
        <v>74</v>
      </c>
      <c r="C96" s="30" t="n">
        <v>781.125</v>
      </c>
      <c r="D96" s="2" t="s">
        <v>214</v>
      </c>
      <c r="E96" s="2" t="s">
        <v>185</v>
      </c>
      <c r="F96" s="2" t="s">
        <v>192</v>
      </c>
      <c r="G96" s="2" t="s">
        <v>193</v>
      </c>
      <c r="H96" s="52" t="s">
        <v>188</v>
      </c>
    </row>
    <row r="97" customFormat="false" ht="15" hidden="false" customHeight="false" outlineLevel="0" collapsed="false">
      <c r="A97" s="7" t="s">
        <v>102</v>
      </c>
      <c r="B97" s="7" t="s">
        <v>75</v>
      </c>
      <c r="C97" s="30" t="n">
        <v>1046.93</v>
      </c>
      <c r="D97" s="2" t="s">
        <v>214</v>
      </c>
      <c r="E97" s="2" t="s">
        <v>185</v>
      </c>
      <c r="F97" s="2" t="s">
        <v>194</v>
      </c>
      <c r="G97" s="2" t="s">
        <v>195</v>
      </c>
      <c r="H97" s="52" t="s">
        <v>188</v>
      </c>
    </row>
    <row r="98" customFormat="false" ht="15" hidden="false" customHeight="false" outlineLevel="0" collapsed="false">
      <c r="A98" s="7" t="s">
        <v>102</v>
      </c>
      <c r="B98" s="7" t="s">
        <v>76</v>
      </c>
      <c r="C98" s="30" t="n">
        <v>1157.632</v>
      </c>
      <c r="D98" s="2" t="s">
        <v>214</v>
      </c>
      <c r="E98" s="2" t="s">
        <v>185</v>
      </c>
      <c r="F98" s="2" t="s">
        <v>189</v>
      </c>
      <c r="G98" s="2" t="s">
        <v>190</v>
      </c>
      <c r="H98" s="52" t="s">
        <v>188</v>
      </c>
    </row>
    <row r="99" customFormat="false" ht="15" hidden="false" customHeight="false" outlineLevel="0" collapsed="false">
      <c r="A99" s="7" t="s">
        <v>102</v>
      </c>
      <c r="B99" s="7" t="s">
        <v>77</v>
      </c>
      <c r="C99" s="30" t="n">
        <v>1272.304</v>
      </c>
      <c r="D99" s="2" t="s">
        <v>214</v>
      </c>
      <c r="E99" s="2" t="s">
        <v>185</v>
      </c>
      <c r="F99" s="2" t="s">
        <v>189</v>
      </c>
      <c r="G99" s="2" t="s">
        <v>190</v>
      </c>
      <c r="H99" s="52" t="s">
        <v>188</v>
      </c>
    </row>
    <row r="100" customFormat="false" ht="15" hidden="false" customHeight="false" outlineLevel="0" collapsed="false">
      <c r="A100" s="7" t="s">
        <v>103</v>
      </c>
      <c r="B100" s="7" t="s">
        <v>73</v>
      </c>
      <c r="C100" s="30" t="n">
        <v>523.068</v>
      </c>
      <c r="D100" s="2" t="s">
        <v>215</v>
      </c>
      <c r="E100" s="2" t="s">
        <v>185</v>
      </c>
      <c r="F100" s="2" t="s">
        <v>186</v>
      </c>
      <c r="G100" s="2" t="s">
        <v>187</v>
      </c>
      <c r="H100" s="52" t="s">
        <v>188</v>
      </c>
    </row>
    <row r="101" customFormat="false" ht="15" hidden="false" customHeight="false" outlineLevel="0" collapsed="false">
      <c r="A101" s="7" t="s">
        <v>103</v>
      </c>
      <c r="B101" s="7" t="s">
        <v>74</v>
      </c>
      <c r="C101" s="30" t="n">
        <v>582.072</v>
      </c>
      <c r="D101" s="2" t="s">
        <v>215</v>
      </c>
      <c r="E101" s="2" t="s">
        <v>185</v>
      </c>
      <c r="F101" s="2" t="s">
        <v>192</v>
      </c>
      <c r="G101" s="2" t="s">
        <v>193</v>
      </c>
      <c r="H101" s="52" t="s">
        <v>188</v>
      </c>
    </row>
    <row r="102" customFormat="false" ht="15" hidden="false" customHeight="false" outlineLevel="0" collapsed="false">
      <c r="A102" s="7" t="s">
        <v>103</v>
      </c>
      <c r="B102" s="7" t="s">
        <v>75</v>
      </c>
      <c r="C102" s="30" t="n">
        <v>734.747</v>
      </c>
      <c r="D102" s="2" t="s">
        <v>215</v>
      </c>
      <c r="E102" s="2" t="s">
        <v>185</v>
      </c>
      <c r="F102" s="2" t="s">
        <v>194</v>
      </c>
      <c r="G102" s="2" t="s">
        <v>195</v>
      </c>
      <c r="H102" s="52" t="s">
        <v>188</v>
      </c>
    </row>
    <row r="103" customFormat="false" ht="15" hidden="false" customHeight="false" outlineLevel="0" collapsed="false">
      <c r="A103" s="7" t="s">
        <v>103</v>
      </c>
      <c r="B103" s="7" t="s">
        <v>76</v>
      </c>
      <c r="C103" s="30" t="n">
        <v>743.428</v>
      </c>
      <c r="D103" s="2" t="s">
        <v>215</v>
      </c>
      <c r="E103" s="2" t="s">
        <v>185</v>
      </c>
      <c r="F103" s="2" t="s">
        <v>189</v>
      </c>
      <c r="G103" s="2" t="s">
        <v>190</v>
      </c>
      <c r="H103" s="52" t="s">
        <v>188</v>
      </c>
    </row>
    <row r="104" customFormat="false" ht="15" hidden="false" customHeight="false" outlineLevel="0" collapsed="false">
      <c r="A104" s="7" t="s">
        <v>103</v>
      </c>
      <c r="B104" s="7" t="s">
        <v>77</v>
      </c>
      <c r="C104" s="30" t="n">
        <v>894.346</v>
      </c>
      <c r="D104" s="2" t="s">
        <v>215</v>
      </c>
      <c r="E104" s="2" t="s">
        <v>185</v>
      </c>
      <c r="F104" s="2" t="s">
        <v>189</v>
      </c>
      <c r="G104" s="2" t="s">
        <v>190</v>
      </c>
      <c r="H104" s="52" t="s">
        <v>188</v>
      </c>
    </row>
    <row r="105" customFormat="false" ht="15" hidden="false" customHeight="false" outlineLevel="0" collapsed="false">
      <c r="A105" s="7" t="s">
        <v>104</v>
      </c>
      <c r="B105" s="7" t="s">
        <v>73</v>
      </c>
      <c r="C105" s="30" t="n">
        <v>3.76</v>
      </c>
      <c r="D105" s="2" t="s">
        <v>216</v>
      </c>
      <c r="E105" s="2" t="s">
        <v>185</v>
      </c>
      <c r="F105" s="2" t="s">
        <v>186</v>
      </c>
      <c r="G105" s="2" t="s">
        <v>187</v>
      </c>
      <c r="H105" s="52" t="s">
        <v>188</v>
      </c>
    </row>
    <row r="106" customFormat="false" ht="15" hidden="false" customHeight="false" outlineLevel="0" collapsed="false">
      <c r="A106" s="7" t="s">
        <v>104</v>
      </c>
      <c r="B106" s="7" t="s">
        <v>74</v>
      </c>
      <c r="C106" s="30" t="n">
        <v>3.883</v>
      </c>
      <c r="D106" s="2" t="s">
        <v>216</v>
      </c>
      <c r="E106" s="2" t="s">
        <v>185</v>
      </c>
      <c r="F106" s="2" t="s">
        <v>192</v>
      </c>
      <c r="G106" s="2" t="s">
        <v>193</v>
      </c>
      <c r="H106" s="52" t="s">
        <v>188</v>
      </c>
    </row>
    <row r="107" customFormat="false" ht="15" hidden="false" customHeight="false" outlineLevel="0" collapsed="false">
      <c r="A107" s="7" t="s">
        <v>104</v>
      </c>
      <c r="B107" s="7" t="s">
        <v>75</v>
      </c>
      <c r="C107" s="30" t="n">
        <v>3.95</v>
      </c>
      <c r="D107" s="2" t="s">
        <v>216</v>
      </c>
      <c r="E107" s="2" t="s">
        <v>185</v>
      </c>
      <c r="F107" s="2" t="s">
        <v>194</v>
      </c>
      <c r="G107" s="2" t="s">
        <v>195</v>
      </c>
      <c r="H107" s="52" t="s">
        <v>188</v>
      </c>
    </row>
    <row r="108" customFormat="false" ht="15" hidden="false" customHeight="false" outlineLevel="0" collapsed="false">
      <c r="A108" s="7" t="s">
        <v>104</v>
      </c>
      <c r="B108" s="7" t="s">
        <v>76</v>
      </c>
      <c r="C108" s="30" t="n">
        <v>4.086</v>
      </c>
      <c r="D108" s="2" t="s">
        <v>216</v>
      </c>
      <c r="E108" s="2" t="s">
        <v>185</v>
      </c>
      <c r="F108" s="2" t="s">
        <v>189</v>
      </c>
      <c r="G108" s="2" t="s">
        <v>190</v>
      </c>
      <c r="H108" s="52" t="s">
        <v>188</v>
      </c>
    </row>
    <row r="109" customFormat="false" ht="15" hidden="false" customHeight="false" outlineLevel="0" collapsed="false">
      <c r="A109" s="7" t="s">
        <v>104</v>
      </c>
      <c r="B109" s="7" t="s">
        <v>77</v>
      </c>
      <c r="C109" s="30" t="n">
        <v>4.227</v>
      </c>
      <c r="D109" s="2" t="s">
        <v>216</v>
      </c>
      <c r="E109" s="2" t="s">
        <v>185</v>
      </c>
      <c r="F109" s="2" t="s">
        <v>189</v>
      </c>
      <c r="G109" s="2" t="s">
        <v>190</v>
      </c>
      <c r="H109" s="52" t="s">
        <v>188</v>
      </c>
    </row>
    <row r="110" customFormat="false" ht="15" hidden="false" customHeight="false" outlineLevel="0" collapsed="false">
      <c r="A110" s="7" t="s">
        <v>105</v>
      </c>
      <c r="B110" s="7" t="s">
        <v>73</v>
      </c>
      <c r="C110" s="30" t="n">
        <v>152.883</v>
      </c>
      <c r="D110" s="2" t="s">
        <v>217</v>
      </c>
      <c r="E110" s="2" t="s">
        <v>185</v>
      </c>
      <c r="F110" s="2" t="s">
        <v>186</v>
      </c>
      <c r="G110" s="2" t="s">
        <v>187</v>
      </c>
      <c r="H110" s="52" t="s">
        <v>188</v>
      </c>
    </row>
    <row r="111" customFormat="false" ht="15" hidden="false" customHeight="false" outlineLevel="0" collapsed="false">
      <c r="A111" s="7" t="s">
        <v>105</v>
      </c>
      <c r="B111" s="7" t="s">
        <v>74</v>
      </c>
      <c r="C111" s="30" t="n">
        <v>149.269</v>
      </c>
      <c r="D111" s="2" t="s">
        <v>217</v>
      </c>
      <c r="E111" s="2" t="s">
        <v>185</v>
      </c>
      <c r="F111" s="2" t="s">
        <v>192</v>
      </c>
      <c r="G111" s="2" t="s">
        <v>193</v>
      </c>
      <c r="H111" s="52" t="s">
        <v>188</v>
      </c>
    </row>
    <row r="112" customFormat="false" ht="15" hidden="false" customHeight="false" outlineLevel="0" collapsed="false">
      <c r="A112" s="7" t="s">
        <v>105</v>
      </c>
      <c r="B112" s="7" t="s">
        <v>75</v>
      </c>
      <c r="C112" s="30" t="n">
        <v>145.497</v>
      </c>
      <c r="D112" s="2" t="s">
        <v>217</v>
      </c>
      <c r="E112" s="2" t="s">
        <v>185</v>
      </c>
      <c r="F112" s="2" t="s">
        <v>194</v>
      </c>
      <c r="G112" s="2" t="s">
        <v>195</v>
      </c>
      <c r="H112" s="52" t="s">
        <v>188</v>
      </c>
    </row>
    <row r="113" customFormat="false" ht="15" hidden="false" customHeight="false" outlineLevel="0" collapsed="false">
      <c r="A113" s="7" t="s">
        <v>105</v>
      </c>
      <c r="B113" s="7" t="s">
        <v>76</v>
      </c>
      <c r="C113" s="30" t="n">
        <v>141.585</v>
      </c>
      <c r="D113" s="2" t="s">
        <v>217</v>
      </c>
      <c r="E113" s="2" t="s">
        <v>185</v>
      </c>
      <c r="F113" s="2" t="s">
        <v>189</v>
      </c>
      <c r="G113" s="2" t="s">
        <v>190</v>
      </c>
      <c r="H113" s="52" t="s">
        <v>188</v>
      </c>
    </row>
    <row r="114" customFormat="false" ht="15" hidden="false" customHeight="false" outlineLevel="0" collapsed="false">
      <c r="A114" s="7" t="s">
        <v>105</v>
      </c>
      <c r="B114" s="7" t="s">
        <v>77</v>
      </c>
      <c r="C114" s="30" t="n">
        <v>137.529</v>
      </c>
      <c r="D114" s="2" t="s">
        <v>217</v>
      </c>
      <c r="E114" s="2" t="s">
        <v>185</v>
      </c>
      <c r="F114" s="2" t="s">
        <v>189</v>
      </c>
      <c r="G114" s="2" t="s">
        <v>190</v>
      </c>
      <c r="H114" s="52" t="s">
        <v>188</v>
      </c>
    </row>
    <row r="115" customFormat="false" ht="15" hidden="false" customHeight="false" outlineLevel="0" collapsed="false">
      <c r="A115" s="7" t="s">
        <v>107</v>
      </c>
      <c r="B115" s="7" t="s">
        <v>73</v>
      </c>
      <c r="C115" s="30" t="n">
        <v>2850.623</v>
      </c>
      <c r="D115" s="2" t="s">
        <v>218</v>
      </c>
      <c r="E115" s="2" t="s">
        <v>185</v>
      </c>
      <c r="F115" s="2" t="s">
        <v>186</v>
      </c>
      <c r="G115" s="2" t="s">
        <v>187</v>
      </c>
      <c r="H115" s="52" t="s">
        <v>188</v>
      </c>
    </row>
    <row r="116" customFormat="false" ht="15" hidden="false" customHeight="false" outlineLevel="0" collapsed="false">
      <c r="A116" s="7" t="s">
        <v>107</v>
      </c>
      <c r="B116" s="7" t="s">
        <v>74</v>
      </c>
      <c r="C116" s="30" t="n">
        <v>3452.022</v>
      </c>
      <c r="D116" s="2" t="s">
        <v>218</v>
      </c>
      <c r="E116" s="2" t="s">
        <v>185</v>
      </c>
      <c r="F116" s="2" t="s">
        <v>192</v>
      </c>
      <c r="G116" s="2" t="s">
        <v>193</v>
      </c>
      <c r="H116" s="52" t="s">
        <v>188</v>
      </c>
    </row>
    <row r="117" customFormat="false" ht="15" hidden="false" customHeight="false" outlineLevel="0" collapsed="false">
      <c r="A117" s="7" t="s">
        <v>107</v>
      </c>
      <c r="B117" s="7" t="s">
        <v>75</v>
      </c>
      <c r="C117" s="30" t="n">
        <v>4177.541</v>
      </c>
      <c r="D117" s="2" t="s">
        <v>218</v>
      </c>
      <c r="E117" s="2" t="s">
        <v>185</v>
      </c>
      <c r="F117" s="2" t="s">
        <v>194</v>
      </c>
      <c r="G117" s="2" t="s">
        <v>195</v>
      </c>
      <c r="H117" s="52" t="s">
        <v>188</v>
      </c>
    </row>
    <row r="118" customFormat="false" ht="15" hidden="false" customHeight="false" outlineLevel="0" collapsed="false">
      <c r="A118" s="7" t="s">
        <v>107</v>
      </c>
      <c r="B118" s="7" t="s">
        <v>76</v>
      </c>
      <c r="C118" s="30" t="n">
        <v>4669.356</v>
      </c>
      <c r="D118" s="2" t="s">
        <v>218</v>
      </c>
      <c r="E118" s="2" t="s">
        <v>185</v>
      </c>
      <c r="F118" s="2" t="s">
        <v>189</v>
      </c>
      <c r="G118" s="2" t="s">
        <v>190</v>
      </c>
      <c r="H118" s="52" t="s">
        <v>188</v>
      </c>
    </row>
    <row r="119" customFormat="false" ht="15" hidden="false" customHeight="false" outlineLevel="0" collapsed="false">
      <c r="A119" s="7" t="s">
        <v>107</v>
      </c>
      <c r="B119" s="7" t="s">
        <v>77</v>
      </c>
      <c r="C119" s="30" t="n">
        <v>5462.97</v>
      </c>
      <c r="D119" s="2" t="s">
        <v>218</v>
      </c>
      <c r="E119" s="2" t="s">
        <v>185</v>
      </c>
      <c r="F119" s="2" t="s">
        <v>189</v>
      </c>
      <c r="G119" s="2" t="s">
        <v>190</v>
      </c>
      <c r="H119" s="52" t="s">
        <v>188</v>
      </c>
    </row>
    <row r="120" customFormat="false" ht="15" hidden="false" customHeight="false" outlineLevel="0" collapsed="false">
      <c r="A120" s="7" t="s">
        <v>108</v>
      </c>
      <c r="B120" s="7" t="s">
        <v>73</v>
      </c>
      <c r="C120" s="30" t="n">
        <v>1828.909</v>
      </c>
      <c r="D120" s="2" t="s">
        <v>219</v>
      </c>
      <c r="E120" s="2" t="s">
        <v>185</v>
      </c>
      <c r="F120" s="2" t="s">
        <v>186</v>
      </c>
      <c r="G120" s="2" t="s">
        <v>187</v>
      </c>
      <c r="H120" s="52" t="s">
        <v>188</v>
      </c>
    </row>
    <row r="121" customFormat="false" ht="15" hidden="false" customHeight="false" outlineLevel="0" collapsed="false">
      <c r="A121" s="7" t="s">
        <v>108</v>
      </c>
      <c r="B121" s="7" t="s">
        <v>74</v>
      </c>
      <c r="C121" s="30" t="n">
        <v>2203.222</v>
      </c>
      <c r="D121" s="2" t="s">
        <v>219</v>
      </c>
      <c r="E121" s="2" t="s">
        <v>185</v>
      </c>
      <c r="F121" s="2" t="s">
        <v>192</v>
      </c>
      <c r="G121" s="2" t="s">
        <v>193</v>
      </c>
      <c r="H121" s="52" t="s">
        <v>188</v>
      </c>
    </row>
    <row r="122" customFormat="false" ht="15" hidden="false" customHeight="false" outlineLevel="0" collapsed="false">
      <c r="A122" s="7" t="s">
        <v>108</v>
      </c>
      <c r="B122" s="7" t="s">
        <v>75</v>
      </c>
      <c r="C122" s="30" t="n">
        <v>2680.224</v>
      </c>
      <c r="D122" s="2" t="s">
        <v>219</v>
      </c>
      <c r="E122" s="2" t="s">
        <v>185</v>
      </c>
      <c r="F122" s="2" t="s">
        <v>194</v>
      </c>
      <c r="G122" s="2" t="s">
        <v>195</v>
      </c>
      <c r="H122" s="52" t="s">
        <v>188</v>
      </c>
    </row>
    <row r="123" customFormat="false" ht="15" hidden="false" customHeight="false" outlineLevel="0" collapsed="false">
      <c r="A123" s="7" t="s">
        <v>108</v>
      </c>
      <c r="B123" s="7" t="s">
        <v>76</v>
      </c>
      <c r="C123" s="30" t="n">
        <v>2828.928</v>
      </c>
      <c r="D123" s="2" t="s">
        <v>219</v>
      </c>
      <c r="E123" s="2" t="s">
        <v>185</v>
      </c>
      <c r="F123" s="2" t="s">
        <v>189</v>
      </c>
      <c r="G123" s="2" t="s">
        <v>190</v>
      </c>
      <c r="H123" s="52" t="s">
        <v>188</v>
      </c>
    </row>
    <row r="124" customFormat="false" ht="15" hidden="false" customHeight="false" outlineLevel="0" collapsed="false">
      <c r="A124" s="7" t="s">
        <v>108</v>
      </c>
      <c r="B124" s="7" t="s">
        <v>77</v>
      </c>
      <c r="C124" s="30" t="n">
        <v>3228.146</v>
      </c>
      <c r="D124" s="2" t="s">
        <v>219</v>
      </c>
      <c r="E124" s="2" t="s">
        <v>185</v>
      </c>
      <c r="F124" s="2" t="s">
        <v>189</v>
      </c>
      <c r="G124" s="2" t="s">
        <v>190</v>
      </c>
      <c r="H124" s="52" t="s">
        <v>188</v>
      </c>
    </row>
    <row r="125" customFormat="false" ht="15" hidden="false" customHeight="false" outlineLevel="0" collapsed="false">
      <c r="A125" s="7" t="s">
        <v>109</v>
      </c>
      <c r="B125" s="7" t="s">
        <v>73</v>
      </c>
      <c r="C125" s="30" t="n">
        <v>1020.768</v>
      </c>
      <c r="D125" s="2" t="s">
        <v>220</v>
      </c>
      <c r="E125" s="2" t="s">
        <v>185</v>
      </c>
      <c r="F125" s="2" t="s">
        <v>186</v>
      </c>
      <c r="G125" s="2" t="s">
        <v>187</v>
      </c>
      <c r="H125" s="52" t="s">
        <v>188</v>
      </c>
    </row>
    <row r="126" customFormat="false" ht="15" hidden="false" customHeight="false" outlineLevel="0" collapsed="false">
      <c r="A126" s="7" t="s">
        <v>109</v>
      </c>
      <c r="B126" s="7" t="s">
        <v>74</v>
      </c>
      <c r="C126" s="30" t="n">
        <v>1247.332</v>
      </c>
      <c r="D126" s="2" t="s">
        <v>220</v>
      </c>
      <c r="E126" s="2" t="s">
        <v>185</v>
      </c>
      <c r="F126" s="2" t="s">
        <v>192</v>
      </c>
      <c r="G126" s="2" t="s">
        <v>193</v>
      </c>
      <c r="H126" s="52" t="s">
        <v>188</v>
      </c>
    </row>
    <row r="127" customFormat="false" ht="15" hidden="false" customHeight="false" outlineLevel="0" collapsed="false">
      <c r="A127" s="7" t="s">
        <v>109</v>
      </c>
      <c r="B127" s="7" t="s">
        <v>75</v>
      </c>
      <c r="C127" s="30" t="n">
        <v>1491.865</v>
      </c>
      <c r="D127" s="2" t="s">
        <v>220</v>
      </c>
      <c r="E127" s="2" t="s">
        <v>185</v>
      </c>
      <c r="F127" s="2" t="s">
        <v>194</v>
      </c>
      <c r="G127" s="2" t="s">
        <v>195</v>
      </c>
      <c r="H127" s="52" t="s">
        <v>188</v>
      </c>
    </row>
    <row r="128" customFormat="false" ht="15" hidden="false" customHeight="false" outlineLevel="0" collapsed="false">
      <c r="A128" s="7" t="s">
        <v>109</v>
      </c>
      <c r="B128" s="7" t="s">
        <v>76</v>
      </c>
      <c r="C128" s="30" t="n">
        <v>1837.111</v>
      </c>
      <c r="D128" s="2" t="s">
        <v>220</v>
      </c>
      <c r="E128" s="2" t="s">
        <v>185</v>
      </c>
      <c r="F128" s="2" t="s">
        <v>189</v>
      </c>
      <c r="G128" s="2" t="s">
        <v>190</v>
      </c>
      <c r="H128" s="52" t="s">
        <v>188</v>
      </c>
    </row>
    <row r="129" customFormat="false" ht="15" hidden="false" customHeight="false" outlineLevel="0" collapsed="false">
      <c r="A129" s="7" t="s">
        <v>109</v>
      </c>
      <c r="B129" s="7" t="s">
        <v>77</v>
      </c>
      <c r="C129" s="30" t="n">
        <v>2231.725</v>
      </c>
      <c r="D129" s="2" t="s">
        <v>220</v>
      </c>
      <c r="E129" s="2" t="s">
        <v>185</v>
      </c>
      <c r="F129" s="2" t="s">
        <v>189</v>
      </c>
      <c r="G129" s="2" t="s">
        <v>190</v>
      </c>
      <c r="H129" s="52" t="s">
        <v>188</v>
      </c>
    </row>
    <row r="130" customFormat="false" ht="15" hidden="false" customHeight="false" outlineLevel="0" collapsed="false">
      <c r="A130" s="7" t="s">
        <v>110</v>
      </c>
      <c r="B130" s="7" t="s">
        <v>73</v>
      </c>
      <c r="C130" s="30" t="n">
        <v>0.946</v>
      </c>
      <c r="D130" s="2" t="s">
        <v>221</v>
      </c>
      <c r="E130" s="2" t="s">
        <v>185</v>
      </c>
      <c r="F130" s="2" t="s">
        <v>186</v>
      </c>
      <c r="G130" s="2" t="s">
        <v>187</v>
      </c>
      <c r="H130" s="52" t="s">
        <v>188</v>
      </c>
    </row>
    <row r="131" customFormat="false" ht="15" hidden="false" customHeight="false" outlineLevel="0" collapsed="false">
      <c r="A131" s="7" t="s">
        <v>110</v>
      </c>
      <c r="B131" s="7" t="s">
        <v>74</v>
      </c>
      <c r="C131" s="30" t="n">
        <v>1.468</v>
      </c>
      <c r="D131" s="2" t="s">
        <v>221</v>
      </c>
      <c r="E131" s="2" t="s">
        <v>185</v>
      </c>
      <c r="F131" s="2" t="s">
        <v>192</v>
      </c>
      <c r="G131" s="2" t="s">
        <v>193</v>
      </c>
      <c r="H131" s="52" t="s">
        <v>188</v>
      </c>
    </row>
    <row r="132" customFormat="false" ht="15" hidden="false" customHeight="false" outlineLevel="0" collapsed="false">
      <c r="A132" s="7" t="s">
        <v>110</v>
      </c>
      <c r="B132" s="7" t="s">
        <v>75</v>
      </c>
      <c r="C132" s="30" t="n">
        <v>5.452</v>
      </c>
      <c r="D132" s="2" t="s">
        <v>221</v>
      </c>
      <c r="E132" s="2" t="s">
        <v>185</v>
      </c>
      <c r="F132" s="2" t="s">
        <v>194</v>
      </c>
      <c r="G132" s="2" t="s">
        <v>195</v>
      </c>
      <c r="H132" s="52" t="s">
        <v>188</v>
      </c>
    </row>
    <row r="133" customFormat="false" ht="15" hidden="false" customHeight="false" outlineLevel="0" collapsed="false">
      <c r="A133" s="7" t="s">
        <v>110</v>
      </c>
      <c r="B133" s="7" t="s">
        <v>76</v>
      </c>
      <c r="C133" s="30" t="n">
        <v>3.317</v>
      </c>
      <c r="D133" s="2" t="s">
        <v>221</v>
      </c>
      <c r="E133" s="2" t="s">
        <v>185</v>
      </c>
      <c r="F133" s="2" t="s">
        <v>189</v>
      </c>
      <c r="G133" s="2" t="s">
        <v>190</v>
      </c>
      <c r="H133" s="52" t="s">
        <v>188</v>
      </c>
    </row>
    <row r="134" customFormat="false" ht="15" hidden="false" customHeight="false" outlineLevel="0" collapsed="false">
      <c r="A134" s="7" t="s">
        <v>110</v>
      </c>
      <c r="B134" s="7" t="s">
        <v>77</v>
      </c>
      <c r="C134" s="30" t="n">
        <v>3.099</v>
      </c>
      <c r="D134" s="2" t="s">
        <v>221</v>
      </c>
      <c r="E134" s="2" t="s">
        <v>185</v>
      </c>
      <c r="F134" s="2" t="s">
        <v>189</v>
      </c>
      <c r="G134" s="2" t="s">
        <v>190</v>
      </c>
      <c r="H134" s="52" t="s">
        <v>188</v>
      </c>
    </row>
  </sheetData>
  <autoFilter ref="A4:H134"/>
  <hyperlinks>
    <hyperlink ref="H5" r:id="rId1" display="Open filing"/>
    <hyperlink ref="H6" r:id="rId2" display="Open filing"/>
    <hyperlink ref="H7" r:id="rId3" display="Open filing"/>
    <hyperlink ref="H8" r:id="rId4" display="Open filing"/>
    <hyperlink ref="H9" r:id="rId5" display="Open filing"/>
    <hyperlink ref="H10" r:id="rId6" display="Open filing"/>
    <hyperlink ref="H11" r:id="rId7" display="Open filing"/>
    <hyperlink ref="H12" r:id="rId8" display="Open filing"/>
    <hyperlink ref="H13" r:id="rId9" display="Open filing"/>
    <hyperlink ref="H14" r:id="rId10" display="Open filing"/>
    <hyperlink ref="H20" r:id="rId11" display="Open filing"/>
    <hyperlink ref="H21" r:id="rId12" display="Open filing"/>
    <hyperlink ref="H22" r:id="rId13" display="Open filing"/>
    <hyperlink ref="H23" r:id="rId14" display="Open filing"/>
    <hyperlink ref="H24" r:id="rId15" display="Open filing"/>
    <hyperlink ref="H25" r:id="rId16" display="Open filing"/>
    <hyperlink ref="H26" r:id="rId17" display="Open filing"/>
    <hyperlink ref="H27" r:id="rId18" display="Open filing"/>
    <hyperlink ref="H28" r:id="rId19" display="Open filing"/>
    <hyperlink ref="H29" r:id="rId20" display="Open filing"/>
    <hyperlink ref="H30" r:id="rId21" display="Open filing"/>
    <hyperlink ref="H31" r:id="rId22" display="Open filing"/>
    <hyperlink ref="H32" r:id="rId23" display="Open filing"/>
    <hyperlink ref="H33" r:id="rId24" display="Open filing"/>
    <hyperlink ref="H34" r:id="rId25" display="Open filing"/>
    <hyperlink ref="H35" r:id="rId26" display="Open filing"/>
    <hyperlink ref="H36" r:id="rId27" display="Open filing"/>
    <hyperlink ref="H37" r:id="rId28" display="Open filing"/>
    <hyperlink ref="H38" r:id="rId29" display="Open filing"/>
    <hyperlink ref="H39" r:id="rId30" display="Open filing"/>
    <hyperlink ref="H40" r:id="rId31" display="Open filing"/>
    <hyperlink ref="H41" r:id="rId32" display="Open filing"/>
    <hyperlink ref="H42" r:id="rId33" display="Open filing"/>
    <hyperlink ref="H43" r:id="rId34" display="Open filing"/>
    <hyperlink ref="H44" r:id="rId35" display="Open filing"/>
    <hyperlink ref="H45" r:id="rId36" display="Open filing"/>
    <hyperlink ref="H46" r:id="rId37" display="Open filing"/>
    <hyperlink ref="H47" r:id="rId38" display="Open filing"/>
    <hyperlink ref="H48" r:id="rId39" display="Open filing"/>
    <hyperlink ref="H49" r:id="rId40" display="Open filing"/>
    <hyperlink ref="H50" r:id="rId41" display="Open filing"/>
    <hyperlink ref="H51" r:id="rId42" display="Open filing"/>
    <hyperlink ref="H52" r:id="rId43" display="Open filing"/>
    <hyperlink ref="H53" r:id="rId44" display="Open filing"/>
    <hyperlink ref="H54" r:id="rId45" display="Open filing"/>
    <hyperlink ref="H55" r:id="rId46" display="Open filing"/>
    <hyperlink ref="H56" r:id="rId47" display="Open filing"/>
    <hyperlink ref="H57" r:id="rId48" display="Open filing"/>
    <hyperlink ref="H58" r:id="rId49" display="Open filing"/>
    <hyperlink ref="H59" r:id="rId50" display="Open filing"/>
    <hyperlink ref="H60" r:id="rId51" display="Open filing"/>
    <hyperlink ref="H61" r:id="rId52" display="Open filing"/>
    <hyperlink ref="H62" r:id="rId53" display="Open filing"/>
    <hyperlink ref="H63" r:id="rId54" display="Open filing"/>
    <hyperlink ref="H64" r:id="rId55" display="Open filing"/>
    <hyperlink ref="H65" r:id="rId56" display="Open filing"/>
    <hyperlink ref="H66" r:id="rId57" display="Open filing"/>
    <hyperlink ref="H67" r:id="rId58" display="Open filing"/>
    <hyperlink ref="H68" r:id="rId59" display="Open filing"/>
    <hyperlink ref="H69" r:id="rId60" display="Open filing"/>
    <hyperlink ref="H70" r:id="rId61" display="Open filing"/>
    <hyperlink ref="H71" r:id="rId62" display="Open filing"/>
    <hyperlink ref="H72" r:id="rId63" display="Open filing"/>
    <hyperlink ref="H73" r:id="rId64" display="Open filing"/>
    <hyperlink ref="H74" r:id="rId65" display="Open filing"/>
    <hyperlink ref="H75" r:id="rId66" display="Open filing"/>
    <hyperlink ref="H76" r:id="rId67" display="Open filing"/>
    <hyperlink ref="H77" r:id="rId68" display="Open filing"/>
    <hyperlink ref="H78" r:id="rId69" display="Open filing"/>
    <hyperlink ref="H79" r:id="rId70" display="Open filing"/>
    <hyperlink ref="H80" r:id="rId71" display="Open filing"/>
    <hyperlink ref="H81" r:id="rId72" display="Open filing"/>
    <hyperlink ref="H82" r:id="rId73" display="Open filing"/>
    <hyperlink ref="H83" r:id="rId74" display="Open filing"/>
    <hyperlink ref="H84" r:id="rId75" display="Open filing"/>
    <hyperlink ref="H85" r:id="rId76" display="Open filing"/>
    <hyperlink ref="H86" r:id="rId77" display="Open filing"/>
    <hyperlink ref="H87" r:id="rId78" display="Open filing"/>
    <hyperlink ref="H88" r:id="rId79" display="Open filing"/>
    <hyperlink ref="H89" r:id="rId80" display="Open filing"/>
    <hyperlink ref="H90" r:id="rId81" display="Open filing"/>
    <hyperlink ref="H91" r:id="rId82" display="Open filing"/>
    <hyperlink ref="H92" r:id="rId83" display="Open filing"/>
    <hyperlink ref="H93" r:id="rId84" display="Open filing"/>
    <hyperlink ref="H94" r:id="rId85" display="Open filing"/>
    <hyperlink ref="H95" r:id="rId86" display="Open filing"/>
    <hyperlink ref="H96" r:id="rId87" display="Open filing"/>
    <hyperlink ref="H97" r:id="rId88" display="Open filing"/>
    <hyperlink ref="H98" r:id="rId89" display="Open filing"/>
    <hyperlink ref="H99" r:id="rId90" display="Open filing"/>
    <hyperlink ref="H100" r:id="rId91" display="Open filing"/>
    <hyperlink ref="H101" r:id="rId92" display="Open filing"/>
    <hyperlink ref="H102" r:id="rId93" display="Open filing"/>
    <hyperlink ref="H103" r:id="rId94" display="Open filing"/>
    <hyperlink ref="H104" r:id="rId95" display="Open filing"/>
    <hyperlink ref="H105" r:id="rId96" display="Open filing"/>
    <hyperlink ref="H106" r:id="rId97" display="Open filing"/>
    <hyperlink ref="H107" r:id="rId98" display="Open filing"/>
    <hyperlink ref="H108" r:id="rId99" display="Open filing"/>
    <hyperlink ref="H109" r:id="rId100" display="Open filing"/>
    <hyperlink ref="H110" r:id="rId101" display="Open filing"/>
    <hyperlink ref="H111" r:id="rId102" display="Open filing"/>
    <hyperlink ref="H112" r:id="rId103" display="Open filing"/>
    <hyperlink ref="H113" r:id="rId104" display="Open filing"/>
    <hyperlink ref="H114" r:id="rId105" display="Open filing"/>
    <hyperlink ref="H115" r:id="rId106" display="Open filing"/>
    <hyperlink ref="H116" r:id="rId107" display="Open filing"/>
    <hyperlink ref="H117" r:id="rId108" display="Open filing"/>
    <hyperlink ref="H118" r:id="rId109" display="Open filing"/>
    <hyperlink ref="H119" r:id="rId110" display="Open filing"/>
    <hyperlink ref="H120" r:id="rId111" display="Open filing"/>
    <hyperlink ref="H121" r:id="rId112" display="Open filing"/>
    <hyperlink ref="H122" r:id="rId113" display="Open filing"/>
    <hyperlink ref="H123" r:id="rId114" display="Open filing"/>
    <hyperlink ref="H124" r:id="rId115" display="Open filing"/>
    <hyperlink ref="H125" r:id="rId116" display="Open filing"/>
    <hyperlink ref="H126" r:id="rId117" display="Open filing"/>
    <hyperlink ref="H127" r:id="rId118" display="Open filing"/>
    <hyperlink ref="H128" r:id="rId119" display="Open filing"/>
    <hyperlink ref="H129" r:id="rId120" display="Open filing"/>
    <hyperlink ref="H130" r:id="rId121" display="Open filing"/>
    <hyperlink ref="H131" r:id="rId122" display="Open filing"/>
    <hyperlink ref="H132" r:id="rId123" display="Open filing"/>
    <hyperlink ref="H133" r:id="rId124" display="Open filing"/>
    <hyperlink ref="H134" r:id="rId125" display="Open filin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26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7" t="s">
        <v>222</v>
      </c>
    </row>
    <row r="2" customFormat="false" ht="15" hidden="false" customHeight="false" outlineLevel="0" collapsed="false">
      <c r="A2" s="18" t="s">
        <v>223</v>
      </c>
    </row>
    <row r="5" customFormat="false" ht="15" hidden="false" customHeight="false" outlineLevel="0" collapsed="false">
      <c r="A5" s="53" t="s">
        <v>224</v>
      </c>
    </row>
    <row r="6" customFormat="false" ht="30" hidden="false" customHeight="true" outlineLevel="0" collapsed="false">
      <c r="A6" s="54" t="s">
        <v>225</v>
      </c>
    </row>
    <row r="7" customFormat="false" ht="30" hidden="false" customHeight="true" outlineLevel="0" collapsed="false">
      <c r="A7" s="54" t="s">
        <v>226</v>
      </c>
    </row>
    <row r="9" customFormat="false" ht="15" hidden="false" customHeight="false" outlineLevel="0" collapsed="false">
      <c r="A9" s="53" t="s">
        <v>227</v>
      </c>
    </row>
    <row r="10" customFormat="false" ht="30" hidden="false" customHeight="true" outlineLevel="0" collapsed="false">
      <c r="A10" s="54" t="s">
        <v>228</v>
      </c>
    </row>
    <row r="11" customFormat="false" ht="30" hidden="false" customHeight="true" outlineLevel="0" collapsed="false">
      <c r="A11" s="54" t="s">
        <v>229</v>
      </c>
    </row>
    <row r="12" customFormat="false" ht="30" hidden="false" customHeight="true" outlineLevel="0" collapsed="false">
      <c r="A12" s="54" t="s">
        <v>230</v>
      </c>
    </row>
    <row r="13" customFormat="false" ht="30" hidden="false" customHeight="true" outlineLevel="0" collapsed="false">
      <c r="A13" s="54" t="s">
        <v>231</v>
      </c>
    </row>
    <row r="14" customFormat="false" ht="15" hidden="false" customHeight="true" outlineLevel="0" collapsed="false">
      <c r="A14" s="54" t="s">
        <v>232</v>
      </c>
    </row>
    <row r="16" customFormat="false" ht="15" hidden="false" customHeight="false" outlineLevel="0" collapsed="false">
      <c r="A16" s="53" t="s">
        <v>23</v>
      </c>
    </row>
    <row r="17" customFormat="false" ht="30" hidden="false" customHeight="true" outlineLevel="0" collapsed="false">
      <c r="A17" s="54" t="s">
        <v>233</v>
      </c>
    </row>
    <row r="18" customFormat="false" ht="30" hidden="false" customHeight="true" outlineLevel="0" collapsed="false">
      <c r="A18" s="54" t="s">
        <v>234</v>
      </c>
    </row>
    <row r="20" customFormat="false" ht="15" hidden="false" customHeight="false" outlineLevel="0" collapsed="false">
      <c r="A20" s="53" t="s">
        <v>235</v>
      </c>
    </row>
    <row r="21" customFormat="false" ht="15" hidden="false" customHeight="true" outlineLevel="0" collapsed="false">
      <c r="A21" s="54" t="s">
        <v>236</v>
      </c>
    </row>
    <row r="22" customFormat="false" ht="15" hidden="false" customHeight="true" outlineLevel="0" collapsed="false">
      <c r="A22" s="54" t="s">
        <v>237</v>
      </c>
    </row>
    <row r="23" customFormat="false" ht="15" hidden="false" customHeight="true" outlineLevel="0" collapsed="false">
      <c r="A23" s="54" t="s">
        <v>238</v>
      </c>
    </row>
    <row r="24" customFormat="false" ht="15" hidden="false" customHeight="true" outlineLevel="0" collapsed="false">
      <c r="A24" s="54" t="s">
        <v>239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2026-10-23T00:11:42Z</dcterms:created>
  <dc:creator>openpyxl</dc:creator>
  <dc:description/>
  <dc:language>en-US</dc:language>
  <cp:lastModifiedBy/>
  <dcterms:modified xsi:type="dcterms:W3CDTF">2026-10-23T00:11:42Z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